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ran\OneDrive\Desktop\"/>
    </mc:Choice>
  </mc:AlternateContent>
  <xr:revisionPtr revIDLastSave="0" documentId="13_ncr:1_{8D72EFF2-B5A8-4CCA-8CED-9A652DC4C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סיכום" sheetId="1" r:id="rId1"/>
    <sheet name="הנחות" sheetId="2" r:id="rId2"/>
    <sheet name="תוכנית תפעולית" sheetId="3" r:id="rId3"/>
    <sheet name="Cap Table" sheetId="4" r:id="rId4"/>
    <sheet name="תרחישים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C32" i="4"/>
  <c r="F23" i="4"/>
  <c r="F22" i="4"/>
  <c r="F21" i="4"/>
  <c r="B13" i="4"/>
  <c r="B11" i="4"/>
  <c r="B7" i="4"/>
  <c r="B5" i="4"/>
  <c r="B6" i="4" s="1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M129" i="3"/>
  <c r="AK129" i="3"/>
  <c r="AB129" i="3"/>
  <c r="AA129" i="3"/>
  <c r="BE128" i="3"/>
  <c r="BD128" i="3"/>
  <c r="AY128" i="3"/>
  <c r="AW128" i="3"/>
  <c r="M128" i="3"/>
  <c r="C128" i="3"/>
  <c r="BI127" i="3"/>
  <c r="BE127" i="3"/>
  <c r="AZ127" i="3"/>
  <c r="AB127" i="3"/>
  <c r="Y127" i="3"/>
  <c r="M127" i="3"/>
  <c r="I127" i="3"/>
  <c r="Y126" i="3"/>
  <c r="P126" i="3"/>
  <c r="O126" i="3"/>
  <c r="D126" i="3"/>
  <c r="AB125" i="3"/>
  <c r="Y125" i="3"/>
  <c r="U125" i="3"/>
  <c r="R125" i="3"/>
  <c r="AY124" i="3"/>
  <c r="AM124" i="3"/>
  <c r="AK124" i="3"/>
  <c r="M124" i="3"/>
  <c r="D124" i="3"/>
  <c r="C124" i="3"/>
  <c r="AA123" i="3"/>
  <c r="Y123" i="3"/>
  <c r="O123" i="3"/>
  <c r="M123" i="3"/>
  <c r="AZ122" i="3"/>
  <c r="AY122" i="3"/>
  <c r="AN122" i="3"/>
  <c r="AK122" i="3"/>
  <c r="AD122" i="3"/>
  <c r="BI121" i="3"/>
  <c r="AZ121" i="3"/>
  <c r="AW121" i="3"/>
  <c r="AP121" i="3"/>
  <c r="M121" i="3"/>
  <c r="C121" i="3"/>
  <c r="M120" i="3"/>
  <c r="AB119" i="3"/>
  <c r="O119" i="3"/>
  <c r="M119" i="3"/>
  <c r="Y118" i="3"/>
  <c r="BI115" i="3"/>
  <c r="BI129" i="3" s="1"/>
  <c r="BH115" i="3"/>
  <c r="BH129" i="3" s="1"/>
  <c r="BG115" i="3"/>
  <c r="BG129" i="3" s="1"/>
  <c r="BF115" i="3"/>
  <c r="BF129" i="3" s="1"/>
  <c r="BE115" i="3"/>
  <c r="BE129" i="3" s="1"/>
  <c r="BD115" i="3"/>
  <c r="BD129" i="3" s="1"/>
  <c r="BC115" i="3"/>
  <c r="BC129" i="3" s="1"/>
  <c r="BB115" i="3"/>
  <c r="BB129" i="3" s="1"/>
  <c r="BA115" i="3"/>
  <c r="BA129" i="3" s="1"/>
  <c r="AZ115" i="3"/>
  <c r="AZ129" i="3" s="1"/>
  <c r="AY115" i="3"/>
  <c r="AY129" i="3" s="1"/>
  <c r="AX115" i="3"/>
  <c r="AX129" i="3" s="1"/>
  <c r="AW115" i="3"/>
  <c r="AW129" i="3" s="1"/>
  <c r="AV115" i="3"/>
  <c r="AV129" i="3" s="1"/>
  <c r="AU115" i="3"/>
  <c r="AU129" i="3" s="1"/>
  <c r="AT115" i="3"/>
  <c r="AT129" i="3" s="1"/>
  <c r="AS115" i="3"/>
  <c r="AS129" i="3" s="1"/>
  <c r="AR115" i="3"/>
  <c r="AR129" i="3" s="1"/>
  <c r="AQ115" i="3"/>
  <c r="AQ129" i="3" s="1"/>
  <c r="AP115" i="3"/>
  <c r="AP129" i="3" s="1"/>
  <c r="AO115" i="3"/>
  <c r="AO129" i="3" s="1"/>
  <c r="AN115" i="3"/>
  <c r="AN129" i="3" s="1"/>
  <c r="AM115" i="3"/>
  <c r="AL115" i="3"/>
  <c r="AL129" i="3" s="1"/>
  <c r="AK115" i="3"/>
  <c r="AJ115" i="3"/>
  <c r="AJ129" i="3" s="1"/>
  <c r="AI115" i="3"/>
  <c r="AI129" i="3" s="1"/>
  <c r="AH115" i="3"/>
  <c r="AH129" i="3" s="1"/>
  <c r="AG115" i="3"/>
  <c r="AG129" i="3" s="1"/>
  <c r="AF115" i="3"/>
  <c r="AF129" i="3" s="1"/>
  <c r="AE115" i="3"/>
  <c r="AE129" i="3" s="1"/>
  <c r="AD115" i="3"/>
  <c r="AD129" i="3" s="1"/>
  <c r="AC115" i="3"/>
  <c r="AC129" i="3" s="1"/>
  <c r="AB115" i="3"/>
  <c r="AA115" i="3"/>
  <c r="Z115" i="3"/>
  <c r="Z129" i="3" s="1"/>
  <c r="Y115" i="3"/>
  <c r="Y129" i="3" s="1"/>
  <c r="X115" i="3"/>
  <c r="X129" i="3" s="1"/>
  <c r="W115" i="3"/>
  <c r="W129" i="3" s="1"/>
  <c r="V115" i="3"/>
  <c r="V129" i="3" s="1"/>
  <c r="U115" i="3"/>
  <c r="U129" i="3" s="1"/>
  <c r="T115" i="3"/>
  <c r="T129" i="3" s="1"/>
  <c r="S115" i="3"/>
  <c r="S129" i="3" s="1"/>
  <c r="R115" i="3"/>
  <c r="R129" i="3" s="1"/>
  <c r="Q115" i="3"/>
  <c r="Q129" i="3" s="1"/>
  <c r="P115" i="3"/>
  <c r="P129" i="3" s="1"/>
  <c r="O115" i="3"/>
  <c r="O129" i="3" s="1"/>
  <c r="N115" i="3"/>
  <c r="N129" i="3" s="1"/>
  <c r="M115" i="3"/>
  <c r="M129" i="3" s="1"/>
  <c r="L115" i="3"/>
  <c r="L129" i="3" s="1"/>
  <c r="K115" i="3"/>
  <c r="K129" i="3" s="1"/>
  <c r="J115" i="3"/>
  <c r="J129" i="3" s="1"/>
  <c r="I115" i="3"/>
  <c r="I129" i="3" s="1"/>
  <c r="H115" i="3"/>
  <c r="H129" i="3" s="1"/>
  <c r="G115" i="3"/>
  <c r="G129" i="3" s="1"/>
  <c r="F115" i="3"/>
  <c r="F129" i="3" s="1"/>
  <c r="E115" i="3"/>
  <c r="E129" i="3" s="1"/>
  <c r="D115" i="3"/>
  <c r="D129" i="3" s="1"/>
  <c r="C115" i="3"/>
  <c r="C129" i="3" s="1"/>
  <c r="B115" i="3"/>
  <c r="B129" i="3" s="1"/>
  <c r="BI114" i="3"/>
  <c r="BI128" i="3" s="1"/>
  <c r="BH114" i="3"/>
  <c r="BH128" i="3" s="1"/>
  <c r="BG114" i="3"/>
  <c r="BG128" i="3" s="1"/>
  <c r="BF114" i="3"/>
  <c r="BF128" i="3" s="1"/>
  <c r="BE114" i="3"/>
  <c r="BD114" i="3"/>
  <c r="BC114" i="3"/>
  <c r="BC128" i="3" s="1"/>
  <c r="BB114" i="3"/>
  <c r="BB128" i="3" s="1"/>
  <c r="BA114" i="3"/>
  <c r="BA128" i="3" s="1"/>
  <c r="AZ114" i="3"/>
  <c r="AZ128" i="3" s="1"/>
  <c r="AY114" i="3"/>
  <c r="AX114" i="3"/>
  <c r="AX128" i="3" s="1"/>
  <c r="AW114" i="3"/>
  <c r="AV114" i="3"/>
  <c r="AV128" i="3" s="1"/>
  <c r="AU114" i="3"/>
  <c r="AU128" i="3" s="1"/>
  <c r="AT114" i="3"/>
  <c r="AT128" i="3" s="1"/>
  <c r="AS114" i="3"/>
  <c r="AS128" i="3" s="1"/>
  <c r="AR114" i="3"/>
  <c r="AR128" i="3" s="1"/>
  <c r="AQ114" i="3"/>
  <c r="AQ128" i="3" s="1"/>
  <c r="AP114" i="3"/>
  <c r="AP128" i="3" s="1"/>
  <c r="AO114" i="3"/>
  <c r="AO128" i="3" s="1"/>
  <c r="AN114" i="3"/>
  <c r="AN128" i="3" s="1"/>
  <c r="AM114" i="3"/>
  <c r="AM128" i="3" s="1"/>
  <c r="AL114" i="3"/>
  <c r="AL128" i="3" s="1"/>
  <c r="AK114" i="3"/>
  <c r="AK128" i="3" s="1"/>
  <c r="AJ114" i="3"/>
  <c r="AJ128" i="3" s="1"/>
  <c r="AI114" i="3"/>
  <c r="AI128" i="3" s="1"/>
  <c r="AH114" i="3"/>
  <c r="AH128" i="3" s="1"/>
  <c r="AG114" i="3"/>
  <c r="AG128" i="3" s="1"/>
  <c r="AF114" i="3"/>
  <c r="AF128" i="3" s="1"/>
  <c r="AE114" i="3"/>
  <c r="AE128" i="3" s="1"/>
  <c r="AD114" i="3"/>
  <c r="AD128" i="3" s="1"/>
  <c r="AC114" i="3"/>
  <c r="AC128" i="3" s="1"/>
  <c r="AB114" i="3"/>
  <c r="AB128" i="3" s="1"/>
  <c r="AA114" i="3"/>
  <c r="AA128" i="3" s="1"/>
  <c r="Z114" i="3"/>
  <c r="Z128" i="3" s="1"/>
  <c r="Y114" i="3"/>
  <c r="Y128" i="3" s="1"/>
  <c r="X114" i="3"/>
  <c r="X128" i="3" s="1"/>
  <c r="W114" i="3"/>
  <c r="W128" i="3" s="1"/>
  <c r="V114" i="3"/>
  <c r="V128" i="3" s="1"/>
  <c r="U114" i="3"/>
  <c r="U128" i="3" s="1"/>
  <c r="T114" i="3"/>
  <c r="T128" i="3" s="1"/>
  <c r="S114" i="3"/>
  <c r="S128" i="3" s="1"/>
  <c r="R114" i="3"/>
  <c r="R128" i="3" s="1"/>
  <c r="Q114" i="3"/>
  <c r="Q128" i="3" s="1"/>
  <c r="P114" i="3"/>
  <c r="P128" i="3" s="1"/>
  <c r="O114" i="3"/>
  <c r="O128" i="3" s="1"/>
  <c r="N114" i="3"/>
  <c r="N128" i="3" s="1"/>
  <c r="M114" i="3"/>
  <c r="L114" i="3"/>
  <c r="L128" i="3" s="1"/>
  <c r="K114" i="3"/>
  <c r="K128" i="3" s="1"/>
  <c r="J114" i="3"/>
  <c r="J128" i="3" s="1"/>
  <c r="I114" i="3"/>
  <c r="I128" i="3" s="1"/>
  <c r="H114" i="3"/>
  <c r="H128" i="3" s="1"/>
  <c r="G114" i="3"/>
  <c r="G128" i="3" s="1"/>
  <c r="F114" i="3"/>
  <c r="F128" i="3" s="1"/>
  <c r="E114" i="3"/>
  <c r="E128" i="3" s="1"/>
  <c r="D114" i="3"/>
  <c r="D128" i="3" s="1"/>
  <c r="C114" i="3"/>
  <c r="B114" i="3"/>
  <c r="B128" i="3" s="1"/>
  <c r="BI113" i="3"/>
  <c r="BH113" i="3"/>
  <c r="BH127" i="3" s="1"/>
  <c r="BG113" i="3"/>
  <c r="BG127" i="3" s="1"/>
  <c r="BF113" i="3"/>
  <c r="BF127" i="3" s="1"/>
  <c r="BE113" i="3"/>
  <c r="BD113" i="3"/>
  <c r="BD127" i="3" s="1"/>
  <c r="BC113" i="3"/>
  <c r="BC127" i="3" s="1"/>
  <c r="BB113" i="3"/>
  <c r="BB127" i="3" s="1"/>
  <c r="BA113" i="3"/>
  <c r="BA127" i="3" s="1"/>
  <c r="AZ113" i="3"/>
  <c r="AY113" i="3"/>
  <c r="AY127" i="3" s="1"/>
  <c r="AX113" i="3"/>
  <c r="AX127" i="3" s="1"/>
  <c r="AW113" i="3"/>
  <c r="AW127" i="3" s="1"/>
  <c r="AV113" i="3"/>
  <c r="AV127" i="3" s="1"/>
  <c r="AU113" i="3"/>
  <c r="AU127" i="3" s="1"/>
  <c r="AT113" i="3"/>
  <c r="AT127" i="3" s="1"/>
  <c r="AS113" i="3"/>
  <c r="AS127" i="3" s="1"/>
  <c r="AR113" i="3"/>
  <c r="AR127" i="3" s="1"/>
  <c r="AQ113" i="3"/>
  <c r="AQ127" i="3" s="1"/>
  <c r="AP113" i="3"/>
  <c r="AP127" i="3" s="1"/>
  <c r="AO113" i="3"/>
  <c r="AO127" i="3" s="1"/>
  <c r="AN113" i="3"/>
  <c r="AN127" i="3" s="1"/>
  <c r="AM113" i="3"/>
  <c r="AM127" i="3" s="1"/>
  <c r="AL113" i="3"/>
  <c r="AL127" i="3" s="1"/>
  <c r="AK113" i="3"/>
  <c r="AK127" i="3" s="1"/>
  <c r="AJ113" i="3"/>
  <c r="AJ127" i="3" s="1"/>
  <c r="AI113" i="3"/>
  <c r="AI127" i="3" s="1"/>
  <c r="AH113" i="3"/>
  <c r="AH127" i="3" s="1"/>
  <c r="AG113" i="3"/>
  <c r="AG127" i="3" s="1"/>
  <c r="AF113" i="3"/>
  <c r="AF127" i="3" s="1"/>
  <c r="AE113" i="3"/>
  <c r="AE127" i="3" s="1"/>
  <c r="AD113" i="3"/>
  <c r="AD127" i="3" s="1"/>
  <c r="AC113" i="3"/>
  <c r="AC127" i="3" s="1"/>
  <c r="AB113" i="3"/>
  <c r="AA113" i="3"/>
  <c r="AA127" i="3" s="1"/>
  <c r="Z113" i="3"/>
  <c r="Z127" i="3" s="1"/>
  <c r="Y113" i="3"/>
  <c r="X113" i="3"/>
  <c r="X127" i="3" s="1"/>
  <c r="W113" i="3"/>
  <c r="W127" i="3" s="1"/>
  <c r="V113" i="3"/>
  <c r="V127" i="3" s="1"/>
  <c r="U113" i="3"/>
  <c r="U127" i="3" s="1"/>
  <c r="T113" i="3"/>
  <c r="T127" i="3" s="1"/>
  <c r="S113" i="3"/>
  <c r="S127" i="3" s="1"/>
  <c r="R113" i="3"/>
  <c r="R127" i="3" s="1"/>
  <c r="Q113" i="3"/>
  <c r="Q127" i="3" s="1"/>
  <c r="P113" i="3"/>
  <c r="P127" i="3" s="1"/>
  <c r="O113" i="3"/>
  <c r="O127" i="3" s="1"/>
  <c r="N113" i="3"/>
  <c r="N127" i="3" s="1"/>
  <c r="M113" i="3"/>
  <c r="L113" i="3"/>
  <c r="L127" i="3" s="1"/>
  <c r="K113" i="3"/>
  <c r="K127" i="3" s="1"/>
  <c r="J113" i="3"/>
  <c r="J127" i="3" s="1"/>
  <c r="I113" i="3"/>
  <c r="H113" i="3"/>
  <c r="H127" i="3" s="1"/>
  <c r="G113" i="3"/>
  <c r="G127" i="3" s="1"/>
  <c r="F113" i="3"/>
  <c r="F127" i="3" s="1"/>
  <c r="E113" i="3"/>
  <c r="E127" i="3" s="1"/>
  <c r="D113" i="3"/>
  <c r="D127" i="3" s="1"/>
  <c r="C113" i="3"/>
  <c r="C127" i="3" s="1"/>
  <c r="B113" i="3"/>
  <c r="B127" i="3" s="1"/>
  <c r="BI112" i="3"/>
  <c r="BI126" i="3" s="1"/>
  <c r="BH112" i="3"/>
  <c r="BH126" i="3" s="1"/>
  <c r="BG112" i="3"/>
  <c r="BG126" i="3" s="1"/>
  <c r="BF112" i="3"/>
  <c r="BF126" i="3" s="1"/>
  <c r="BE112" i="3"/>
  <c r="BE126" i="3" s="1"/>
  <c r="BD112" i="3"/>
  <c r="BD126" i="3" s="1"/>
  <c r="BC112" i="3"/>
  <c r="BC126" i="3" s="1"/>
  <c r="BB112" i="3"/>
  <c r="BB126" i="3" s="1"/>
  <c r="BA112" i="3"/>
  <c r="BA126" i="3" s="1"/>
  <c r="AZ112" i="3"/>
  <c r="AZ126" i="3" s="1"/>
  <c r="AY112" i="3"/>
  <c r="AY126" i="3" s="1"/>
  <c r="AX112" i="3"/>
  <c r="AX126" i="3" s="1"/>
  <c r="AW112" i="3"/>
  <c r="AW126" i="3" s="1"/>
  <c r="AV112" i="3"/>
  <c r="AV126" i="3" s="1"/>
  <c r="AU112" i="3"/>
  <c r="AU126" i="3" s="1"/>
  <c r="AT112" i="3"/>
  <c r="AT126" i="3" s="1"/>
  <c r="AS112" i="3"/>
  <c r="AS126" i="3" s="1"/>
  <c r="AR112" i="3"/>
  <c r="AR126" i="3" s="1"/>
  <c r="AQ112" i="3"/>
  <c r="AQ126" i="3" s="1"/>
  <c r="AP112" i="3"/>
  <c r="AP126" i="3" s="1"/>
  <c r="AO112" i="3"/>
  <c r="AO126" i="3" s="1"/>
  <c r="AN112" i="3"/>
  <c r="AN126" i="3" s="1"/>
  <c r="AM112" i="3"/>
  <c r="AM126" i="3" s="1"/>
  <c r="AL112" i="3"/>
  <c r="AL126" i="3" s="1"/>
  <c r="AK112" i="3"/>
  <c r="AK126" i="3" s="1"/>
  <c r="AJ112" i="3"/>
  <c r="AJ126" i="3" s="1"/>
  <c r="AI112" i="3"/>
  <c r="AI126" i="3" s="1"/>
  <c r="AH112" i="3"/>
  <c r="AH126" i="3" s="1"/>
  <c r="AG112" i="3"/>
  <c r="AG126" i="3" s="1"/>
  <c r="AF112" i="3"/>
  <c r="AF126" i="3" s="1"/>
  <c r="AE112" i="3"/>
  <c r="AE126" i="3" s="1"/>
  <c r="AD112" i="3"/>
  <c r="AD126" i="3" s="1"/>
  <c r="AC112" i="3"/>
  <c r="AC126" i="3" s="1"/>
  <c r="AB112" i="3"/>
  <c r="AB126" i="3" s="1"/>
  <c r="AA112" i="3"/>
  <c r="AA126" i="3" s="1"/>
  <c r="Z112" i="3"/>
  <c r="Z126" i="3" s="1"/>
  <c r="Y112" i="3"/>
  <c r="X112" i="3"/>
  <c r="X126" i="3" s="1"/>
  <c r="W112" i="3"/>
  <c r="W126" i="3" s="1"/>
  <c r="V112" i="3"/>
  <c r="V126" i="3" s="1"/>
  <c r="U112" i="3"/>
  <c r="U126" i="3" s="1"/>
  <c r="T112" i="3"/>
  <c r="T126" i="3" s="1"/>
  <c r="S112" i="3"/>
  <c r="S126" i="3" s="1"/>
  <c r="R112" i="3"/>
  <c r="R126" i="3" s="1"/>
  <c r="Q112" i="3"/>
  <c r="Q126" i="3" s="1"/>
  <c r="P112" i="3"/>
  <c r="O112" i="3"/>
  <c r="N112" i="3"/>
  <c r="N126" i="3" s="1"/>
  <c r="M112" i="3"/>
  <c r="M126" i="3" s="1"/>
  <c r="L112" i="3"/>
  <c r="L126" i="3" s="1"/>
  <c r="K112" i="3"/>
  <c r="K126" i="3" s="1"/>
  <c r="J112" i="3"/>
  <c r="J126" i="3" s="1"/>
  <c r="I112" i="3"/>
  <c r="I126" i="3" s="1"/>
  <c r="H112" i="3"/>
  <c r="H126" i="3" s="1"/>
  <c r="G112" i="3"/>
  <c r="G126" i="3" s="1"/>
  <c r="F112" i="3"/>
  <c r="F126" i="3" s="1"/>
  <c r="E112" i="3"/>
  <c r="E126" i="3" s="1"/>
  <c r="D112" i="3"/>
  <c r="C112" i="3"/>
  <c r="C126" i="3" s="1"/>
  <c r="B112" i="3"/>
  <c r="B126" i="3" s="1"/>
  <c r="BI111" i="3"/>
  <c r="BI125" i="3" s="1"/>
  <c r="BH111" i="3"/>
  <c r="BH125" i="3" s="1"/>
  <c r="BG111" i="3"/>
  <c r="BG125" i="3" s="1"/>
  <c r="BF111" i="3"/>
  <c r="BF125" i="3" s="1"/>
  <c r="BE111" i="3"/>
  <c r="BE125" i="3" s="1"/>
  <c r="BD111" i="3"/>
  <c r="BD125" i="3" s="1"/>
  <c r="BC111" i="3"/>
  <c r="BC125" i="3" s="1"/>
  <c r="BB111" i="3"/>
  <c r="BB125" i="3" s="1"/>
  <c r="BA111" i="3"/>
  <c r="BA125" i="3" s="1"/>
  <c r="AZ111" i="3"/>
  <c r="AZ125" i="3" s="1"/>
  <c r="AY111" i="3"/>
  <c r="AY125" i="3" s="1"/>
  <c r="AX111" i="3"/>
  <c r="AX125" i="3" s="1"/>
  <c r="AW111" i="3"/>
  <c r="AW125" i="3" s="1"/>
  <c r="AV111" i="3"/>
  <c r="AV125" i="3" s="1"/>
  <c r="AU111" i="3"/>
  <c r="AU125" i="3" s="1"/>
  <c r="AT111" i="3"/>
  <c r="AT125" i="3" s="1"/>
  <c r="AS111" i="3"/>
  <c r="AS125" i="3" s="1"/>
  <c r="AR111" i="3"/>
  <c r="AR125" i="3" s="1"/>
  <c r="AQ111" i="3"/>
  <c r="AQ125" i="3" s="1"/>
  <c r="AP111" i="3"/>
  <c r="AP125" i="3" s="1"/>
  <c r="AO111" i="3"/>
  <c r="AO125" i="3" s="1"/>
  <c r="AN111" i="3"/>
  <c r="AN125" i="3" s="1"/>
  <c r="AM111" i="3"/>
  <c r="AM125" i="3" s="1"/>
  <c r="AL111" i="3"/>
  <c r="AL125" i="3" s="1"/>
  <c r="AK111" i="3"/>
  <c r="AK125" i="3" s="1"/>
  <c r="AJ111" i="3"/>
  <c r="AJ125" i="3" s="1"/>
  <c r="AI111" i="3"/>
  <c r="AI125" i="3" s="1"/>
  <c r="AH111" i="3"/>
  <c r="AH125" i="3" s="1"/>
  <c r="AG111" i="3"/>
  <c r="AG125" i="3" s="1"/>
  <c r="AF111" i="3"/>
  <c r="AF125" i="3" s="1"/>
  <c r="AE111" i="3"/>
  <c r="AE125" i="3" s="1"/>
  <c r="AD111" i="3"/>
  <c r="AD125" i="3" s="1"/>
  <c r="AC111" i="3"/>
  <c r="AC125" i="3" s="1"/>
  <c r="AB111" i="3"/>
  <c r="AA111" i="3"/>
  <c r="AA125" i="3" s="1"/>
  <c r="Z111" i="3"/>
  <c r="Z125" i="3" s="1"/>
  <c r="Y111" i="3"/>
  <c r="X111" i="3"/>
  <c r="X125" i="3" s="1"/>
  <c r="W111" i="3"/>
  <c r="W125" i="3" s="1"/>
  <c r="V111" i="3"/>
  <c r="V125" i="3" s="1"/>
  <c r="U111" i="3"/>
  <c r="T111" i="3"/>
  <c r="T125" i="3" s="1"/>
  <c r="S111" i="3"/>
  <c r="S125" i="3" s="1"/>
  <c r="R111" i="3"/>
  <c r="Q111" i="3"/>
  <c r="Q125" i="3" s="1"/>
  <c r="P111" i="3"/>
  <c r="P125" i="3" s="1"/>
  <c r="O111" i="3"/>
  <c r="O125" i="3" s="1"/>
  <c r="N111" i="3"/>
  <c r="N125" i="3" s="1"/>
  <c r="M111" i="3"/>
  <c r="M125" i="3" s="1"/>
  <c r="L111" i="3"/>
  <c r="L125" i="3" s="1"/>
  <c r="K111" i="3"/>
  <c r="K125" i="3" s="1"/>
  <c r="J111" i="3"/>
  <c r="J125" i="3" s="1"/>
  <c r="I111" i="3"/>
  <c r="I125" i="3" s="1"/>
  <c r="H111" i="3"/>
  <c r="H125" i="3" s="1"/>
  <c r="G111" i="3"/>
  <c r="G125" i="3" s="1"/>
  <c r="F111" i="3"/>
  <c r="F125" i="3" s="1"/>
  <c r="E111" i="3"/>
  <c r="E125" i="3" s="1"/>
  <c r="D111" i="3"/>
  <c r="D125" i="3" s="1"/>
  <c r="C111" i="3"/>
  <c r="C125" i="3" s="1"/>
  <c r="B111" i="3"/>
  <c r="B125" i="3" s="1"/>
  <c r="BI110" i="3"/>
  <c r="BI124" i="3" s="1"/>
  <c r="BH110" i="3"/>
  <c r="BH124" i="3" s="1"/>
  <c r="BG110" i="3"/>
  <c r="BG124" i="3" s="1"/>
  <c r="BF110" i="3"/>
  <c r="BF124" i="3" s="1"/>
  <c r="BE110" i="3"/>
  <c r="BE124" i="3" s="1"/>
  <c r="BD110" i="3"/>
  <c r="BD124" i="3" s="1"/>
  <c r="BC110" i="3"/>
  <c r="BC124" i="3" s="1"/>
  <c r="BB110" i="3"/>
  <c r="BB124" i="3" s="1"/>
  <c r="BA110" i="3"/>
  <c r="BA124" i="3" s="1"/>
  <c r="AZ110" i="3"/>
  <c r="AZ124" i="3" s="1"/>
  <c r="AY110" i="3"/>
  <c r="AX110" i="3"/>
  <c r="AX124" i="3" s="1"/>
  <c r="AW110" i="3"/>
  <c r="AW124" i="3" s="1"/>
  <c r="AV110" i="3"/>
  <c r="AV124" i="3" s="1"/>
  <c r="AU110" i="3"/>
  <c r="AU124" i="3" s="1"/>
  <c r="AT110" i="3"/>
  <c r="AT124" i="3" s="1"/>
  <c r="AS110" i="3"/>
  <c r="AS124" i="3" s="1"/>
  <c r="AR110" i="3"/>
  <c r="AR124" i="3" s="1"/>
  <c r="AQ110" i="3"/>
  <c r="AQ124" i="3" s="1"/>
  <c r="AP110" i="3"/>
  <c r="AP124" i="3" s="1"/>
  <c r="AO110" i="3"/>
  <c r="AO124" i="3" s="1"/>
  <c r="AN110" i="3"/>
  <c r="AN124" i="3" s="1"/>
  <c r="AM110" i="3"/>
  <c r="AL110" i="3"/>
  <c r="AL124" i="3" s="1"/>
  <c r="AK110" i="3"/>
  <c r="AJ110" i="3"/>
  <c r="AJ124" i="3" s="1"/>
  <c r="AI110" i="3"/>
  <c r="AI124" i="3" s="1"/>
  <c r="AH110" i="3"/>
  <c r="AH124" i="3" s="1"/>
  <c r="AG110" i="3"/>
  <c r="AG124" i="3" s="1"/>
  <c r="AF110" i="3"/>
  <c r="AF124" i="3" s="1"/>
  <c r="AE110" i="3"/>
  <c r="AE124" i="3" s="1"/>
  <c r="AD110" i="3"/>
  <c r="AD124" i="3" s="1"/>
  <c r="AC110" i="3"/>
  <c r="AC124" i="3" s="1"/>
  <c r="AB110" i="3"/>
  <c r="AB124" i="3" s="1"/>
  <c r="AA110" i="3"/>
  <c r="AA124" i="3" s="1"/>
  <c r="Z110" i="3"/>
  <c r="Z124" i="3" s="1"/>
  <c r="Y110" i="3"/>
  <c r="Y124" i="3" s="1"/>
  <c r="X110" i="3"/>
  <c r="X124" i="3" s="1"/>
  <c r="W110" i="3"/>
  <c r="W124" i="3" s="1"/>
  <c r="V110" i="3"/>
  <c r="V124" i="3" s="1"/>
  <c r="U110" i="3"/>
  <c r="U124" i="3" s="1"/>
  <c r="T110" i="3"/>
  <c r="T124" i="3" s="1"/>
  <c r="S110" i="3"/>
  <c r="S124" i="3" s="1"/>
  <c r="R110" i="3"/>
  <c r="R124" i="3" s="1"/>
  <c r="Q110" i="3"/>
  <c r="Q124" i="3" s="1"/>
  <c r="P110" i="3"/>
  <c r="P124" i="3" s="1"/>
  <c r="O110" i="3"/>
  <c r="O124" i="3" s="1"/>
  <c r="N110" i="3"/>
  <c r="N124" i="3" s="1"/>
  <c r="M110" i="3"/>
  <c r="L110" i="3"/>
  <c r="L124" i="3" s="1"/>
  <c r="K110" i="3"/>
  <c r="K124" i="3" s="1"/>
  <c r="J110" i="3"/>
  <c r="J124" i="3" s="1"/>
  <c r="I110" i="3"/>
  <c r="I124" i="3" s="1"/>
  <c r="H110" i="3"/>
  <c r="H124" i="3" s="1"/>
  <c r="G110" i="3"/>
  <c r="G124" i="3" s="1"/>
  <c r="F110" i="3"/>
  <c r="F124" i="3" s="1"/>
  <c r="E110" i="3"/>
  <c r="E124" i="3" s="1"/>
  <c r="D110" i="3"/>
  <c r="C110" i="3"/>
  <c r="B110" i="3"/>
  <c r="B124" i="3" s="1"/>
  <c r="BI109" i="3"/>
  <c r="BI123" i="3" s="1"/>
  <c r="BH109" i="3"/>
  <c r="BH123" i="3" s="1"/>
  <c r="BG109" i="3"/>
  <c r="BG123" i="3" s="1"/>
  <c r="BF109" i="3"/>
  <c r="BF123" i="3" s="1"/>
  <c r="BE109" i="3"/>
  <c r="BE123" i="3" s="1"/>
  <c r="BD109" i="3"/>
  <c r="BD123" i="3" s="1"/>
  <c r="BC109" i="3"/>
  <c r="BC123" i="3" s="1"/>
  <c r="BB109" i="3"/>
  <c r="BB123" i="3" s="1"/>
  <c r="BA109" i="3"/>
  <c r="BA123" i="3" s="1"/>
  <c r="AZ109" i="3"/>
  <c r="AZ123" i="3" s="1"/>
  <c r="AY109" i="3"/>
  <c r="AY123" i="3" s="1"/>
  <c r="AX109" i="3"/>
  <c r="AX123" i="3" s="1"/>
  <c r="AW109" i="3"/>
  <c r="AW123" i="3" s="1"/>
  <c r="AV109" i="3"/>
  <c r="AV123" i="3" s="1"/>
  <c r="AU109" i="3"/>
  <c r="AU123" i="3" s="1"/>
  <c r="AT109" i="3"/>
  <c r="AT123" i="3" s="1"/>
  <c r="AS109" i="3"/>
  <c r="AS123" i="3" s="1"/>
  <c r="AR109" i="3"/>
  <c r="AR123" i="3" s="1"/>
  <c r="AQ109" i="3"/>
  <c r="AQ123" i="3" s="1"/>
  <c r="AP109" i="3"/>
  <c r="AP123" i="3" s="1"/>
  <c r="AO109" i="3"/>
  <c r="AO123" i="3" s="1"/>
  <c r="AN109" i="3"/>
  <c r="AN123" i="3" s="1"/>
  <c r="AM109" i="3"/>
  <c r="AM123" i="3" s="1"/>
  <c r="AL109" i="3"/>
  <c r="AL123" i="3" s="1"/>
  <c r="AK109" i="3"/>
  <c r="AK123" i="3" s="1"/>
  <c r="AJ109" i="3"/>
  <c r="AJ123" i="3" s="1"/>
  <c r="AI109" i="3"/>
  <c r="AI123" i="3" s="1"/>
  <c r="AH109" i="3"/>
  <c r="AH123" i="3" s="1"/>
  <c r="AG109" i="3"/>
  <c r="AG123" i="3" s="1"/>
  <c r="AF109" i="3"/>
  <c r="AF123" i="3" s="1"/>
  <c r="AE109" i="3"/>
  <c r="AE123" i="3" s="1"/>
  <c r="AD109" i="3"/>
  <c r="AD123" i="3" s="1"/>
  <c r="AC109" i="3"/>
  <c r="AC123" i="3" s="1"/>
  <c r="AB109" i="3"/>
  <c r="AB123" i="3" s="1"/>
  <c r="AA109" i="3"/>
  <c r="Z109" i="3"/>
  <c r="Z123" i="3" s="1"/>
  <c r="Y109" i="3"/>
  <c r="X109" i="3"/>
  <c r="X123" i="3" s="1"/>
  <c r="W109" i="3"/>
  <c r="W123" i="3" s="1"/>
  <c r="V109" i="3"/>
  <c r="V123" i="3" s="1"/>
  <c r="U109" i="3"/>
  <c r="U123" i="3" s="1"/>
  <c r="T109" i="3"/>
  <c r="T123" i="3" s="1"/>
  <c r="S109" i="3"/>
  <c r="S123" i="3" s="1"/>
  <c r="R109" i="3"/>
  <c r="R123" i="3" s="1"/>
  <c r="Q109" i="3"/>
  <c r="Q123" i="3" s="1"/>
  <c r="P109" i="3"/>
  <c r="P123" i="3" s="1"/>
  <c r="O109" i="3"/>
  <c r="N109" i="3"/>
  <c r="N123" i="3" s="1"/>
  <c r="M109" i="3"/>
  <c r="L109" i="3"/>
  <c r="L123" i="3" s="1"/>
  <c r="K109" i="3"/>
  <c r="K123" i="3" s="1"/>
  <c r="J109" i="3"/>
  <c r="J123" i="3" s="1"/>
  <c r="I109" i="3"/>
  <c r="I123" i="3" s="1"/>
  <c r="H109" i="3"/>
  <c r="H123" i="3" s="1"/>
  <c r="G109" i="3"/>
  <c r="G123" i="3" s="1"/>
  <c r="F109" i="3"/>
  <c r="F123" i="3" s="1"/>
  <c r="E109" i="3"/>
  <c r="E123" i="3" s="1"/>
  <c r="D109" i="3"/>
  <c r="D123" i="3" s="1"/>
  <c r="C109" i="3"/>
  <c r="C123" i="3" s="1"/>
  <c r="B109" i="3"/>
  <c r="B123" i="3" s="1"/>
  <c r="BI108" i="3"/>
  <c r="BI122" i="3" s="1"/>
  <c r="BH108" i="3"/>
  <c r="BH122" i="3" s="1"/>
  <c r="BG108" i="3"/>
  <c r="BG122" i="3" s="1"/>
  <c r="BF108" i="3"/>
  <c r="BF122" i="3" s="1"/>
  <c r="BE108" i="3"/>
  <c r="BE122" i="3" s="1"/>
  <c r="BD108" i="3"/>
  <c r="BD122" i="3" s="1"/>
  <c r="BC108" i="3"/>
  <c r="BC122" i="3" s="1"/>
  <c r="BB108" i="3"/>
  <c r="BB122" i="3" s="1"/>
  <c r="BA108" i="3"/>
  <c r="BA122" i="3" s="1"/>
  <c r="AZ108" i="3"/>
  <c r="AY108" i="3"/>
  <c r="AX108" i="3"/>
  <c r="AX122" i="3" s="1"/>
  <c r="AW108" i="3"/>
  <c r="AW122" i="3" s="1"/>
  <c r="AV108" i="3"/>
  <c r="AV122" i="3" s="1"/>
  <c r="AU108" i="3"/>
  <c r="AU122" i="3" s="1"/>
  <c r="AT108" i="3"/>
  <c r="AT122" i="3" s="1"/>
  <c r="AS108" i="3"/>
  <c r="AS122" i="3" s="1"/>
  <c r="AR108" i="3"/>
  <c r="AR122" i="3" s="1"/>
  <c r="AQ108" i="3"/>
  <c r="AQ122" i="3" s="1"/>
  <c r="AP108" i="3"/>
  <c r="AP122" i="3" s="1"/>
  <c r="AO108" i="3"/>
  <c r="AO122" i="3" s="1"/>
  <c r="AN108" i="3"/>
  <c r="AM108" i="3"/>
  <c r="AM122" i="3" s="1"/>
  <c r="AL108" i="3"/>
  <c r="AL122" i="3" s="1"/>
  <c r="AK108" i="3"/>
  <c r="AJ108" i="3"/>
  <c r="AJ122" i="3" s="1"/>
  <c r="AI108" i="3"/>
  <c r="AI122" i="3" s="1"/>
  <c r="AH108" i="3"/>
  <c r="AH122" i="3" s="1"/>
  <c r="AG108" i="3"/>
  <c r="AG122" i="3" s="1"/>
  <c r="AF108" i="3"/>
  <c r="AF122" i="3" s="1"/>
  <c r="AE108" i="3"/>
  <c r="AE122" i="3" s="1"/>
  <c r="AD108" i="3"/>
  <c r="AC108" i="3"/>
  <c r="AC122" i="3" s="1"/>
  <c r="AB108" i="3"/>
  <c r="AB122" i="3" s="1"/>
  <c r="AA108" i="3"/>
  <c r="AA122" i="3" s="1"/>
  <c r="Z108" i="3"/>
  <c r="Z122" i="3" s="1"/>
  <c r="Y108" i="3"/>
  <c r="Y122" i="3" s="1"/>
  <c r="X108" i="3"/>
  <c r="X122" i="3" s="1"/>
  <c r="W108" i="3"/>
  <c r="W122" i="3" s="1"/>
  <c r="V108" i="3"/>
  <c r="V122" i="3" s="1"/>
  <c r="U108" i="3"/>
  <c r="U122" i="3" s="1"/>
  <c r="T108" i="3"/>
  <c r="T122" i="3" s="1"/>
  <c r="S108" i="3"/>
  <c r="S122" i="3" s="1"/>
  <c r="R108" i="3"/>
  <c r="R122" i="3" s="1"/>
  <c r="Q108" i="3"/>
  <c r="Q122" i="3" s="1"/>
  <c r="P108" i="3"/>
  <c r="P122" i="3" s="1"/>
  <c r="O108" i="3"/>
  <c r="O122" i="3" s="1"/>
  <c r="N108" i="3"/>
  <c r="N122" i="3" s="1"/>
  <c r="M108" i="3"/>
  <c r="M122" i="3" s="1"/>
  <c r="L108" i="3"/>
  <c r="L122" i="3" s="1"/>
  <c r="K108" i="3"/>
  <c r="K122" i="3" s="1"/>
  <c r="J108" i="3"/>
  <c r="J122" i="3" s="1"/>
  <c r="I108" i="3"/>
  <c r="I122" i="3" s="1"/>
  <c r="H108" i="3"/>
  <c r="H122" i="3" s="1"/>
  <c r="G108" i="3"/>
  <c r="G122" i="3" s="1"/>
  <c r="F108" i="3"/>
  <c r="F122" i="3" s="1"/>
  <c r="E108" i="3"/>
  <c r="E122" i="3" s="1"/>
  <c r="D108" i="3"/>
  <c r="D122" i="3" s="1"/>
  <c r="C108" i="3"/>
  <c r="C122" i="3" s="1"/>
  <c r="B108" i="3"/>
  <c r="B122" i="3" s="1"/>
  <c r="BI107" i="3"/>
  <c r="BH107" i="3"/>
  <c r="BH121" i="3" s="1"/>
  <c r="BG107" i="3"/>
  <c r="BG121" i="3" s="1"/>
  <c r="BF107" i="3"/>
  <c r="BF121" i="3" s="1"/>
  <c r="BE107" i="3"/>
  <c r="BE121" i="3" s="1"/>
  <c r="BD107" i="3"/>
  <c r="BD121" i="3" s="1"/>
  <c r="BC107" i="3"/>
  <c r="BC121" i="3" s="1"/>
  <c r="BB107" i="3"/>
  <c r="BB121" i="3" s="1"/>
  <c r="BA107" i="3"/>
  <c r="BA121" i="3" s="1"/>
  <c r="AZ107" i="3"/>
  <c r="AY107" i="3"/>
  <c r="AY121" i="3" s="1"/>
  <c r="AX107" i="3"/>
  <c r="AX121" i="3" s="1"/>
  <c r="AW107" i="3"/>
  <c r="AV107" i="3"/>
  <c r="AV121" i="3" s="1"/>
  <c r="AU107" i="3"/>
  <c r="AU121" i="3" s="1"/>
  <c r="AT107" i="3"/>
  <c r="AT121" i="3" s="1"/>
  <c r="AS107" i="3"/>
  <c r="AS121" i="3" s="1"/>
  <c r="AR107" i="3"/>
  <c r="AR121" i="3" s="1"/>
  <c r="AQ107" i="3"/>
  <c r="AQ121" i="3" s="1"/>
  <c r="AP107" i="3"/>
  <c r="AO107" i="3"/>
  <c r="AO121" i="3" s="1"/>
  <c r="AN107" i="3"/>
  <c r="AN121" i="3" s="1"/>
  <c r="AM107" i="3"/>
  <c r="AM121" i="3" s="1"/>
  <c r="AL107" i="3"/>
  <c r="AL121" i="3" s="1"/>
  <c r="AK107" i="3"/>
  <c r="AK121" i="3" s="1"/>
  <c r="AJ107" i="3"/>
  <c r="AJ121" i="3" s="1"/>
  <c r="AI107" i="3"/>
  <c r="AI121" i="3" s="1"/>
  <c r="AH107" i="3"/>
  <c r="AH121" i="3" s="1"/>
  <c r="AG107" i="3"/>
  <c r="AG121" i="3" s="1"/>
  <c r="AF107" i="3"/>
  <c r="AF121" i="3" s="1"/>
  <c r="AE107" i="3"/>
  <c r="AE121" i="3" s="1"/>
  <c r="AD107" i="3"/>
  <c r="AD121" i="3" s="1"/>
  <c r="AC107" i="3"/>
  <c r="AC121" i="3" s="1"/>
  <c r="AB107" i="3"/>
  <c r="AB121" i="3" s="1"/>
  <c r="AA107" i="3"/>
  <c r="AA121" i="3" s="1"/>
  <c r="Z107" i="3"/>
  <c r="Z121" i="3" s="1"/>
  <c r="Y107" i="3"/>
  <c r="Y121" i="3" s="1"/>
  <c r="X107" i="3"/>
  <c r="X121" i="3" s="1"/>
  <c r="W107" i="3"/>
  <c r="W121" i="3" s="1"/>
  <c r="V107" i="3"/>
  <c r="V121" i="3" s="1"/>
  <c r="U107" i="3"/>
  <c r="U121" i="3" s="1"/>
  <c r="T107" i="3"/>
  <c r="T121" i="3" s="1"/>
  <c r="S107" i="3"/>
  <c r="S121" i="3" s="1"/>
  <c r="R107" i="3"/>
  <c r="R121" i="3" s="1"/>
  <c r="Q107" i="3"/>
  <c r="Q121" i="3" s="1"/>
  <c r="P107" i="3"/>
  <c r="P121" i="3" s="1"/>
  <c r="O107" i="3"/>
  <c r="O121" i="3" s="1"/>
  <c r="N107" i="3"/>
  <c r="N121" i="3" s="1"/>
  <c r="M107" i="3"/>
  <c r="L107" i="3"/>
  <c r="L121" i="3" s="1"/>
  <c r="K107" i="3"/>
  <c r="K121" i="3" s="1"/>
  <c r="J107" i="3"/>
  <c r="J121" i="3" s="1"/>
  <c r="I107" i="3"/>
  <c r="I121" i="3" s="1"/>
  <c r="H107" i="3"/>
  <c r="H121" i="3" s="1"/>
  <c r="G107" i="3"/>
  <c r="G121" i="3" s="1"/>
  <c r="F107" i="3"/>
  <c r="F121" i="3" s="1"/>
  <c r="E107" i="3"/>
  <c r="E121" i="3" s="1"/>
  <c r="D107" i="3"/>
  <c r="D121" i="3" s="1"/>
  <c r="C107" i="3"/>
  <c r="B107" i="3"/>
  <c r="B121" i="3" s="1"/>
  <c r="BI106" i="3"/>
  <c r="BI120" i="3" s="1"/>
  <c r="BH106" i="3"/>
  <c r="BH120" i="3" s="1"/>
  <c r="BG106" i="3"/>
  <c r="BG120" i="3" s="1"/>
  <c r="BF106" i="3"/>
  <c r="BF120" i="3" s="1"/>
  <c r="BE106" i="3"/>
  <c r="BE120" i="3" s="1"/>
  <c r="BD106" i="3"/>
  <c r="BD120" i="3" s="1"/>
  <c r="BC106" i="3"/>
  <c r="BC120" i="3" s="1"/>
  <c r="BB106" i="3"/>
  <c r="BB120" i="3" s="1"/>
  <c r="BA106" i="3"/>
  <c r="BA120" i="3" s="1"/>
  <c r="AZ106" i="3"/>
  <c r="AZ120" i="3" s="1"/>
  <c r="AY106" i="3"/>
  <c r="AY120" i="3" s="1"/>
  <c r="AX106" i="3"/>
  <c r="AX120" i="3" s="1"/>
  <c r="AW106" i="3"/>
  <c r="AW120" i="3" s="1"/>
  <c r="AV106" i="3"/>
  <c r="AV120" i="3" s="1"/>
  <c r="AU106" i="3"/>
  <c r="AU120" i="3" s="1"/>
  <c r="AT106" i="3"/>
  <c r="AT120" i="3" s="1"/>
  <c r="AS106" i="3"/>
  <c r="AS120" i="3" s="1"/>
  <c r="AR106" i="3"/>
  <c r="AR120" i="3" s="1"/>
  <c r="AQ106" i="3"/>
  <c r="AQ120" i="3" s="1"/>
  <c r="AP106" i="3"/>
  <c r="AP120" i="3" s="1"/>
  <c r="AO106" i="3"/>
  <c r="AO120" i="3" s="1"/>
  <c r="AN106" i="3"/>
  <c r="AN120" i="3" s="1"/>
  <c r="AM106" i="3"/>
  <c r="AM120" i="3" s="1"/>
  <c r="AL106" i="3"/>
  <c r="AL120" i="3" s="1"/>
  <c r="AK106" i="3"/>
  <c r="AK120" i="3" s="1"/>
  <c r="AJ106" i="3"/>
  <c r="AJ120" i="3" s="1"/>
  <c r="AI106" i="3"/>
  <c r="AI120" i="3" s="1"/>
  <c r="AH106" i="3"/>
  <c r="AH120" i="3" s="1"/>
  <c r="AG106" i="3"/>
  <c r="AG120" i="3" s="1"/>
  <c r="AF106" i="3"/>
  <c r="AF120" i="3" s="1"/>
  <c r="AE106" i="3"/>
  <c r="AE120" i="3" s="1"/>
  <c r="AD106" i="3"/>
  <c r="AD120" i="3" s="1"/>
  <c r="AC106" i="3"/>
  <c r="AC120" i="3" s="1"/>
  <c r="AB106" i="3"/>
  <c r="AB120" i="3" s="1"/>
  <c r="AA106" i="3"/>
  <c r="AA120" i="3" s="1"/>
  <c r="Z106" i="3"/>
  <c r="Z120" i="3" s="1"/>
  <c r="Y106" i="3"/>
  <c r="Y120" i="3" s="1"/>
  <c r="X106" i="3"/>
  <c r="X120" i="3" s="1"/>
  <c r="W106" i="3"/>
  <c r="W120" i="3" s="1"/>
  <c r="V106" i="3"/>
  <c r="V120" i="3" s="1"/>
  <c r="U106" i="3"/>
  <c r="U120" i="3" s="1"/>
  <c r="T106" i="3"/>
  <c r="T120" i="3" s="1"/>
  <c r="S106" i="3"/>
  <c r="S120" i="3" s="1"/>
  <c r="R106" i="3"/>
  <c r="R120" i="3" s="1"/>
  <c r="Q106" i="3"/>
  <c r="Q120" i="3" s="1"/>
  <c r="P106" i="3"/>
  <c r="P120" i="3" s="1"/>
  <c r="O106" i="3"/>
  <c r="O120" i="3" s="1"/>
  <c r="N106" i="3"/>
  <c r="N120" i="3" s="1"/>
  <c r="M106" i="3"/>
  <c r="L106" i="3"/>
  <c r="L120" i="3" s="1"/>
  <c r="K106" i="3"/>
  <c r="K120" i="3" s="1"/>
  <c r="J106" i="3"/>
  <c r="J120" i="3" s="1"/>
  <c r="I106" i="3"/>
  <c r="I120" i="3" s="1"/>
  <c r="H106" i="3"/>
  <c r="H120" i="3" s="1"/>
  <c r="G106" i="3"/>
  <c r="G120" i="3" s="1"/>
  <c r="F106" i="3"/>
  <c r="F120" i="3" s="1"/>
  <c r="E106" i="3"/>
  <c r="E120" i="3" s="1"/>
  <c r="D106" i="3"/>
  <c r="D120" i="3" s="1"/>
  <c r="C106" i="3"/>
  <c r="C120" i="3" s="1"/>
  <c r="B106" i="3"/>
  <c r="B120" i="3" s="1"/>
  <c r="BI105" i="3"/>
  <c r="BI119" i="3" s="1"/>
  <c r="BH105" i="3"/>
  <c r="BH119" i="3" s="1"/>
  <c r="BG105" i="3"/>
  <c r="BG119" i="3" s="1"/>
  <c r="BF105" i="3"/>
  <c r="BF119" i="3" s="1"/>
  <c r="BE105" i="3"/>
  <c r="BE119" i="3" s="1"/>
  <c r="BD105" i="3"/>
  <c r="BD119" i="3" s="1"/>
  <c r="BC105" i="3"/>
  <c r="BC119" i="3" s="1"/>
  <c r="BB105" i="3"/>
  <c r="BB119" i="3" s="1"/>
  <c r="BA105" i="3"/>
  <c r="BA119" i="3" s="1"/>
  <c r="AZ105" i="3"/>
  <c r="AZ119" i="3" s="1"/>
  <c r="AY105" i="3"/>
  <c r="AY119" i="3" s="1"/>
  <c r="AX105" i="3"/>
  <c r="AX119" i="3" s="1"/>
  <c r="AW105" i="3"/>
  <c r="AW119" i="3" s="1"/>
  <c r="AV105" i="3"/>
  <c r="AV119" i="3" s="1"/>
  <c r="AU105" i="3"/>
  <c r="AU119" i="3" s="1"/>
  <c r="AT105" i="3"/>
  <c r="AT119" i="3" s="1"/>
  <c r="AS105" i="3"/>
  <c r="AS119" i="3" s="1"/>
  <c r="AR105" i="3"/>
  <c r="AR119" i="3" s="1"/>
  <c r="AQ105" i="3"/>
  <c r="AQ119" i="3" s="1"/>
  <c r="AP105" i="3"/>
  <c r="AP119" i="3" s="1"/>
  <c r="AO105" i="3"/>
  <c r="AO119" i="3" s="1"/>
  <c r="AN105" i="3"/>
  <c r="AN119" i="3" s="1"/>
  <c r="AN17" i="3" s="1"/>
  <c r="AM105" i="3"/>
  <c r="AM119" i="3" s="1"/>
  <c r="AM17" i="3" s="1"/>
  <c r="AL105" i="3"/>
  <c r="AL119" i="3" s="1"/>
  <c r="AK105" i="3"/>
  <c r="AK119" i="3" s="1"/>
  <c r="AJ105" i="3"/>
  <c r="AJ119" i="3" s="1"/>
  <c r="AI105" i="3"/>
  <c r="AI119" i="3" s="1"/>
  <c r="AH105" i="3"/>
  <c r="AH119" i="3" s="1"/>
  <c r="AG105" i="3"/>
  <c r="AG119" i="3" s="1"/>
  <c r="AF105" i="3"/>
  <c r="AF119" i="3" s="1"/>
  <c r="AE105" i="3"/>
  <c r="AE119" i="3" s="1"/>
  <c r="AD105" i="3"/>
  <c r="AD119" i="3" s="1"/>
  <c r="AC105" i="3"/>
  <c r="AC119" i="3" s="1"/>
  <c r="AB105" i="3"/>
  <c r="AA105" i="3"/>
  <c r="AA119" i="3" s="1"/>
  <c r="Z105" i="3"/>
  <c r="Z119" i="3" s="1"/>
  <c r="Y105" i="3"/>
  <c r="Y119" i="3" s="1"/>
  <c r="X105" i="3"/>
  <c r="X119" i="3" s="1"/>
  <c r="W105" i="3"/>
  <c r="W119" i="3" s="1"/>
  <c r="V105" i="3"/>
  <c r="V119" i="3" s="1"/>
  <c r="U105" i="3"/>
  <c r="U119" i="3" s="1"/>
  <c r="T105" i="3"/>
  <c r="T119" i="3" s="1"/>
  <c r="S105" i="3"/>
  <c r="S119" i="3" s="1"/>
  <c r="R105" i="3"/>
  <c r="R119" i="3" s="1"/>
  <c r="Q105" i="3"/>
  <c r="Q119" i="3" s="1"/>
  <c r="P105" i="3"/>
  <c r="P119" i="3" s="1"/>
  <c r="O105" i="3"/>
  <c r="N105" i="3"/>
  <c r="N119" i="3" s="1"/>
  <c r="M105" i="3"/>
  <c r="L105" i="3"/>
  <c r="L119" i="3" s="1"/>
  <c r="K105" i="3"/>
  <c r="K119" i="3" s="1"/>
  <c r="J105" i="3"/>
  <c r="J119" i="3" s="1"/>
  <c r="I105" i="3"/>
  <c r="I119" i="3" s="1"/>
  <c r="H105" i="3"/>
  <c r="H119" i="3" s="1"/>
  <c r="G105" i="3"/>
  <c r="G119" i="3" s="1"/>
  <c r="F105" i="3"/>
  <c r="F119" i="3" s="1"/>
  <c r="E105" i="3"/>
  <c r="E119" i="3" s="1"/>
  <c r="E17" i="3" s="1"/>
  <c r="D105" i="3"/>
  <c r="D119" i="3" s="1"/>
  <c r="C105" i="3"/>
  <c r="C119" i="3" s="1"/>
  <c r="B105" i="3"/>
  <c r="B119" i="3" s="1"/>
  <c r="BI104" i="3"/>
  <c r="BI118" i="3" s="1"/>
  <c r="BI17" i="3" s="1"/>
  <c r="BH104" i="3"/>
  <c r="BH118" i="3" s="1"/>
  <c r="BH17" i="3" s="1"/>
  <c r="BG104" i="3"/>
  <c r="BG118" i="3" s="1"/>
  <c r="BG17" i="3" s="1"/>
  <c r="BF104" i="3"/>
  <c r="BF118" i="3" s="1"/>
  <c r="BF17" i="3" s="1"/>
  <c r="BE104" i="3"/>
  <c r="BE118" i="3" s="1"/>
  <c r="BD104" i="3"/>
  <c r="BD118" i="3" s="1"/>
  <c r="BC104" i="3"/>
  <c r="BB104" i="3"/>
  <c r="BB118" i="3" s="1"/>
  <c r="BB17" i="3" s="1"/>
  <c r="BA104" i="3"/>
  <c r="BA118" i="3" s="1"/>
  <c r="AZ104" i="3"/>
  <c r="AZ118" i="3" s="1"/>
  <c r="AY104" i="3"/>
  <c r="AY118" i="3" s="1"/>
  <c r="AX104" i="3"/>
  <c r="AX118" i="3" s="1"/>
  <c r="AW104" i="3"/>
  <c r="AW118" i="3" s="1"/>
  <c r="AV104" i="3"/>
  <c r="AV118" i="3" s="1"/>
  <c r="AV17" i="3" s="1"/>
  <c r="AU104" i="3"/>
  <c r="AU118" i="3" s="1"/>
  <c r="AU17" i="3" s="1"/>
  <c r="AT104" i="3"/>
  <c r="AT118" i="3" s="1"/>
  <c r="AT17" i="3" s="1"/>
  <c r="AS104" i="3"/>
  <c r="AS118" i="3" s="1"/>
  <c r="AR104" i="3"/>
  <c r="AR118" i="3" s="1"/>
  <c r="AQ104" i="3"/>
  <c r="AP104" i="3"/>
  <c r="AP118" i="3" s="1"/>
  <c r="AP17" i="3" s="1"/>
  <c r="AO104" i="3"/>
  <c r="AO118" i="3" s="1"/>
  <c r="AO17" i="3" s="1"/>
  <c r="AN104" i="3"/>
  <c r="AN118" i="3" s="1"/>
  <c r="AM104" i="3"/>
  <c r="AM118" i="3" s="1"/>
  <c r="AL104" i="3"/>
  <c r="AL118" i="3" s="1"/>
  <c r="AL17" i="3" s="1"/>
  <c r="AK104" i="3"/>
  <c r="AK118" i="3" s="1"/>
  <c r="AJ104" i="3"/>
  <c r="AJ118" i="3" s="1"/>
  <c r="AI104" i="3"/>
  <c r="AI118" i="3" s="1"/>
  <c r="AI17" i="3" s="1"/>
  <c r="AH104" i="3"/>
  <c r="AH118" i="3" s="1"/>
  <c r="AH17" i="3" s="1"/>
  <c r="AG104" i="3"/>
  <c r="AG118" i="3" s="1"/>
  <c r="AG17" i="3" s="1"/>
  <c r="AF104" i="3"/>
  <c r="AF118" i="3" s="1"/>
  <c r="AF17" i="3" s="1"/>
  <c r="AE104" i="3"/>
  <c r="AD104" i="3"/>
  <c r="AD118" i="3" s="1"/>
  <c r="AD17" i="3" s="1"/>
  <c r="AC104" i="3"/>
  <c r="AC118" i="3" s="1"/>
  <c r="AC17" i="3" s="1"/>
  <c r="AB104" i="3"/>
  <c r="AB118" i="3" s="1"/>
  <c r="AA104" i="3"/>
  <c r="AA118" i="3" s="1"/>
  <c r="Z104" i="3"/>
  <c r="Z118" i="3" s="1"/>
  <c r="Z17" i="3" s="1"/>
  <c r="Y104" i="3"/>
  <c r="X104" i="3"/>
  <c r="X118" i="3" s="1"/>
  <c r="X17" i="3" s="1"/>
  <c r="W104" i="3"/>
  <c r="W118" i="3" s="1"/>
  <c r="W17" i="3" s="1"/>
  <c r="V104" i="3"/>
  <c r="V118" i="3" s="1"/>
  <c r="V17" i="3" s="1"/>
  <c r="U104" i="3"/>
  <c r="U118" i="3" s="1"/>
  <c r="T104" i="3"/>
  <c r="T118" i="3" s="1"/>
  <c r="S104" i="3"/>
  <c r="R104" i="3"/>
  <c r="R118" i="3" s="1"/>
  <c r="Q104" i="3"/>
  <c r="Q118" i="3" s="1"/>
  <c r="Q17" i="3" s="1"/>
  <c r="P104" i="3"/>
  <c r="P118" i="3" s="1"/>
  <c r="O104" i="3"/>
  <c r="O118" i="3" s="1"/>
  <c r="N104" i="3"/>
  <c r="N118" i="3" s="1"/>
  <c r="N17" i="3" s="1"/>
  <c r="M104" i="3"/>
  <c r="M118" i="3" s="1"/>
  <c r="M17" i="3" s="1"/>
  <c r="L104" i="3"/>
  <c r="L118" i="3" s="1"/>
  <c r="K104" i="3"/>
  <c r="K118" i="3" s="1"/>
  <c r="K17" i="3" s="1"/>
  <c r="J104" i="3"/>
  <c r="J118" i="3" s="1"/>
  <c r="J17" i="3" s="1"/>
  <c r="I104" i="3"/>
  <c r="I118" i="3" s="1"/>
  <c r="I17" i="3" s="1"/>
  <c r="H104" i="3"/>
  <c r="H118" i="3" s="1"/>
  <c r="H17" i="3" s="1"/>
  <c r="G104" i="3"/>
  <c r="F104" i="3"/>
  <c r="F118" i="3" s="1"/>
  <c r="E104" i="3"/>
  <c r="E118" i="3" s="1"/>
  <c r="D104" i="3"/>
  <c r="D118" i="3" s="1"/>
  <c r="C104" i="3"/>
  <c r="C118" i="3" s="1"/>
  <c r="B104" i="3"/>
  <c r="B118" i="3" s="1"/>
  <c r="AS100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C65" i="3"/>
  <c r="D65" i="3" s="1"/>
  <c r="B65" i="3"/>
  <c r="B99" i="3" s="1"/>
  <c r="B64" i="3"/>
  <c r="B98" i="3" s="1"/>
  <c r="B63" i="3"/>
  <c r="B62" i="3"/>
  <c r="B60" i="3"/>
  <c r="C59" i="3"/>
  <c r="B59" i="3"/>
  <c r="B93" i="3" s="1"/>
  <c r="B58" i="3"/>
  <c r="C57" i="3"/>
  <c r="B57" i="3"/>
  <c r="B91" i="3" s="1"/>
  <c r="C55" i="3"/>
  <c r="B55" i="3"/>
  <c r="C54" i="3"/>
  <c r="B54" i="3"/>
  <c r="B88" i="3" s="1"/>
  <c r="C53" i="3"/>
  <c r="B53" i="3"/>
  <c r="B87" i="3" s="1"/>
  <c r="B52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5" i="3"/>
  <c r="X45" i="3"/>
  <c r="W45" i="3"/>
  <c r="V45" i="3"/>
  <c r="U45" i="3"/>
  <c r="T45" i="3"/>
  <c r="S45" i="3"/>
  <c r="R45" i="3"/>
  <c r="Q45" i="3"/>
  <c r="P45" i="3"/>
  <c r="O45" i="3"/>
  <c r="N45" i="3"/>
  <c r="M44" i="3"/>
  <c r="L44" i="3"/>
  <c r="K44" i="3"/>
  <c r="J44" i="3"/>
  <c r="I44" i="3"/>
  <c r="H44" i="3"/>
  <c r="G44" i="3"/>
  <c r="F44" i="3"/>
  <c r="E44" i="3"/>
  <c r="D44" i="3"/>
  <c r="C44" i="3"/>
  <c r="B44" i="3"/>
  <c r="B61" i="3" s="1"/>
  <c r="BI43" i="3"/>
  <c r="BH43" i="3"/>
  <c r="BG43" i="3"/>
  <c r="BF43" i="3"/>
  <c r="BE43" i="3"/>
  <c r="BD43" i="3"/>
  <c r="BC43" i="3"/>
  <c r="BB43" i="3"/>
  <c r="BA43" i="3"/>
  <c r="AZ43" i="3"/>
  <c r="AY43" i="3"/>
  <c r="AX43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0" i="3"/>
  <c r="X40" i="3"/>
  <c r="W40" i="3"/>
  <c r="V40" i="3"/>
  <c r="U40" i="3"/>
  <c r="T40" i="3"/>
  <c r="S40" i="3"/>
  <c r="R40" i="3"/>
  <c r="Q40" i="3"/>
  <c r="P40" i="3"/>
  <c r="O40" i="3"/>
  <c r="N40" i="3"/>
  <c r="M39" i="3"/>
  <c r="L39" i="3"/>
  <c r="K39" i="3"/>
  <c r="J39" i="3"/>
  <c r="I39" i="3"/>
  <c r="H39" i="3"/>
  <c r="G39" i="3"/>
  <c r="F39" i="3"/>
  <c r="E39" i="3"/>
  <c r="D39" i="3"/>
  <c r="C39" i="3"/>
  <c r="B39" i="3"/>
  <c r="B56" i="3" s="1"/>
  <c r="BI38" i="3"/>
  <c r="BH38" i="3"/>
  <c r="BG38" i="3"/>
  <c r="BF38" i="3"/>
  <c r="BE38" i="3"/>
  <c r="BD38" i="3"/>
  <c r="BC38" i="3"/>
  <c r="BB38" i="3"/>
  <c r="BA38" i="3"/>
  <c r="AZ38" i="3"/>
  <c r="AY38" i="3"/>
  <c r="AX38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5" i="3"/>
  <c r="X35" i="3"/>
  <c r="W35" i="3"/>
  <c r="V35" i="3"/>
  <c r="U35" i="3"/>
  <c r="T35" i="3"/>
  <c r="S35" i="3"/>
  <c r="R35" i="3"/>
  <c r="Q35" i="3"/>
  <c r="P35" i="3"/>
  <c r="O35" i="3"/>
  <c r="N35" i="3"/>
  <c r="M34" i="3"/>
  <c r="L34" i="3"/>
  <c r="K34" i="3"/>
  <c r="J34" i="3"/>
  <c r="I34" i="3"/>
  <c r="H34" i="3"/>
  <c r="G34" i="3"/>
  <c r="F34" i="3"/>
  <c r="E34" i="3"/>
  <c r="D34" i="3"/>
  <c r="C34" i="3"/>
  <c r="B34" i="3"/>
  <c r="B51" i="3" s="1"/>
  <c r="B27" i="3"/>
  <c r="BI18" i="3"/>
  <c r="BH18" i="3"/>
  <c r="BG18" i="3"/>
  <c r="BE18" i="3"/>
  <c r="AX18" i="3"/>
  <c r="AW18" i="3"/>
  <c r="AV18" i="3"/>
  <c r="AU18" i="3"/>
  <c r="AS18" i="3"/>
  <c r="AL18" i="3"/>
  <c r="AK18" i="3"/>
  <c r="AJ18" i="3"/>
  <c r="AI18" i="3"/>
  <c r="AG18" i="3"/>
  <c r="Z18" i="3"/>
  <c r="Y18" i="3"/>
  <c r="X18" i="3"/>
  <c r="W18" i="3"/>
  <c r="U18" i="3"/>
  <c r="N18" i="3"/>
  <c r="M18" i="3"/>
  <c r="L18" i="3"/>
  <c r="K18" i="3"/>
  <c r="I18" i="3"/>
  <c r="B18" i="3"/>
  <c r="L17" i="3"/>
  <c r="BI16" i="3"/>
  <c r="F10" i="1" s="1"/>
  <c r="BH16" i="3"/>
  <c r="BG16" i="3"/>
  <c r="BF16" i="3"/>
  <c r="BE16" i="3"/>
  <c r="BD16" i="3"/>
  <c r="BB16" i="3"/>
  <c r="BA16" i="3"/>
  <c r="AZ16" i="3"/>
  <c r="AY16" i="3"/>
  <c r="AX16" i="3"/>
  <c r="AW16" i="3"/>
  <c r="E10" i="1" s="1"/>
  <c r="AV16" i="3"/>
  <c r="AU16" i="3"/>
  <c r="AT16" i="3"/>
  <c r="AS16" i="3"/>
  <c r="AR16" i="3"/>
  <c r="AP16" i="3"/>
  <c r="AO16" i="3"/>
  <c r="AN16" i="3"/>
  <c r="AM16" i="3"/>
  <c r="AL16" i="3"/>
  <c r="AK16" i="3"/>
  <c r="D10" i="1" s="1"/>
  <c r="AJ16" i="3"/>
  <c r="AI16" i="3"/>
  <c r="AH16" i="3"/>
  <c r="AG16" i="3"/>
  <c r="AF16" i="3"/>
  <c r="AD16" i="3"/>
  <c r="AC16" i="3"/>
  <c r="AB16" i="3"/>
  <c r="AA16" i="3"/>
  <c r="Z16" i="3"/>
  <c r="Y16" i="3"/>
  <c r="C10" i="1" s="1"/>
  <c r="X16" i="3"/>
  <c r="W16" i="3"/>
  <c r="V16" i="3"/>
  <c r="U16" i="3"/>
  <c r="T16" i="3"/>
  <c r="R16" i="3"/>
  <c r="Q16" i="3"/>
  <c r="P16" i="3"/>
  <c r="O16" i="3"/>
  <c r="N16" i="3"/>
  <c r="M16" i="3"/>
  <c r="B10" i="1" s="1"/>
  <c r="L16" i="3"/>
  <c r="K16" i="3"/>
  <c r="J16" i="3"/>
  <c r="I16" i="3"/>
  <c r="H16" i="3"/>
  <c r="F16" i="3"/>
  <c r="E16" i="3"/>
  <c r="D16" i="3"/>
  <c r="C16" i="3"/>
  <c r="B16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60" i="2"/>
  <c r="B15" i="2"/>
  <c r="F17" i="3" l="1"/>
  <c r="R17" i="3"/>
  <c r="C18" i="3"/>
  <c r="O18" i="3"/>
  <c r="AA18" i="3"/>
  <c r="AM18" i="3"/>
  <c r="AY18" i="3"/>
  <c r="D18" i="3"/>
  <c r="P18" i="3"/>
  <c r="AB18" i="3"/>
  <c r="AN18" i="3"/>
  <c r="AZ18" i="3"/>
  <c r="AR17" i="3"/>
  <c r="E18" i="3"/>
  <c r="Q18" i="3"/>
  <c r="AC18" i="3"/>
  <c r="AO18" i="3"/>
  <c r="BA18" i="3"/>
  <c r="B12" i="4"/>
  <c r="B30" i="4" s="1"/>
  <c r="U17" i="3"/>
  <c r="BE17" i="3"/>
  <c r="F18" i="3"/>
  <c r="R18" i="3"/>
  <c r="AD18" i="3"/>
  <c r="AP18" i="3"/>
  <c r="BB18" i="3"/>
  <c r="G18" i="3"/>
  <c r="S18" i="3"/>
  <c r="AE18" i="3"/>
  <c r="AQ18" i="3"/>
  <c r="BC18" i="3"/>
  <c r="C88" i="3"/>
  <c r="H18" i="3"/>
  <c r="T18" i="3"/>
  <c r="AF18" i="3"/>
  <c r="AR18" i="3"/>
  <c r="BD18" i="3"/>
  <c r="AJ17" i="3"/>
  <c r="C89" i="3"/>
  <c r="J18" i="3"/>
  <c r="V18" i="3"/>
  <c r="AH18" i="3"/>
  <c r="AT18" i="3"/>
  <c r="BF18" i="3"/>
  <c r="B17" i="3"/>
  <c r="AX17" i="3"/>
  <c r="C17" i="3"/>
  <c r="O17" i="3"/>
  <c r="AA17" i="3"/>
  <c r="AY17" i="3"/>
  <c r="D17" i="3"/>
  <c r="P17" i="3"/>
  <c r="AB17" i="3"/>
  <c r="BA17" i="3"/>
  <c r="AK17" i="3"/>
  <c r="AZ17" i="3"/>
  <c r="Y17" i="3"/>
  <c r="BD17" i="3"/>
  <c r="T17" i="3"/>
  <c r="AS17" i="3"/>
  <c r="AW17" i="3"/>
  <c r="B85" i="3"/>
  <c r="B7" i="3"/>
  <c r="C51" i="3"/>
  <c r="S118" i="3"/>
  <c r="S17" i="3" s="1"/>
  <c r="S16" i="3"/>
  <c r="AE118" i="3"/>
  <c r="AE17" i="3" s="1"/>
  <c r="AE16" i="3"/>
  <c r="C91" i="3"/>
  <c r="D57" i="3"/>
  <c r="AQ118" i="3"/>
  <c r="AQ17" i="3" s="1"/>
  <c r="AQ16" i="3"/>
  <c r="B90" i="3"/>
  <c r="B8" i="3"/>
  <c r="C56" i="3"/>
  <c r="B95" i="3"/>
  <c r="C61" i="3"/>
  <c r="B9" i="3"/>
  <c r="G118" i="3"/>
  <c r="G17" i="3" s="1"/>
  <c r="G16" i="3"/>
  <c r="BC118" i="3"/>
  <c r="BC17" i="3" s="1"/>
  <c r="BC16" i="3"/>
  <c r="B86" i="3"/>
  <c r="C52" i="3"/>
  <c r="D54" i="3"/>
  <c r="C60" i="3"/>
  <c r="B94" i="3"/>
  <c r="C63" i="3"/>
  <c r="B97" i="3"/>
  <c r="D53" i="3"/>
  <c r="C87" i="3"/>
  <c r="BG100" i="3"/>
  <c r="AU100" i="3"/>
  <c r="AI100" i="3"/>
  <c r="W100" i="3"/>
  <c r="K100" i="3"/>
  <c r="BA100" i="3"/>
  <c r="AN100" i="3"/>
  <c r="AA100" i="3"/>
  <c r="N100" i="3"/>
  <c r="AZ100" i="3"/>
  <c r="AM100" i="3"/>
  <c r="Z100" i="3"/>
  <c r="M100" i="3"/>
  <c r="AW100" i="3"/>
  <c r="AG100" i="3"/>
  <c r="R100" i="3"/>
  <c r="C100" i="3"/>
  <c r="BD100" i="3"/>
  <c r="AL100" i="3"/>
  <c r="U100" i="3"/>
  <c r="E100" i="3"/>
  <c r="BC100" i="3"/>
  <c r="AK100" i="3"/>
  <c r="T100" i="3"/>
  <c r="D100" i="3"/>
  <c r="AY100" i="3"/>
  <c r="AH100" i="3"/>
  <c r="Q100" i="3"/>
  <c r="AV100" i="3"/>
  <c r="AE100" i="3"/>
  <c r="O100" i="3"/>
  <c r="AT100" i="3"/>
  <c r="AD100" i="3"/>
  <c r="L100" i="3"/>
  <c r="BI100" i="3"/>
  <c r="AR100" i="3"/>
  <c r="AB100" i="3"/>
  <c r="I100" i="3"/>
  <c r="AP100" i="3"/>
  <c r="G100" i="3"/>
  <c r="AO100" i="3"/>
  <c r="F100" i="3"/>
  <c r="AJ100" i="3"/>
  <c r="B100" i="3"/>
  <c r="AF100" i="3"/>
  <c r="BH100" i="3"/>
  <c r="Y100" i="3"/>
  <c r="BF100" i="3"/>
  <c r="X100" i="3"/>
  <c r="BE100" i="3"/>
  <c r="V100" i="3"/>
  <c r="BB100" i="3"/>
  <c r="S100" i="3"/>
  <c r="AX100" i="3"/>
  <c r="P100" i="3"/>
  <c r="AQ100" i="3"/>
  <c r="AC100" i="3"/>
  <c r="J100" i="3"/>
  <c r="H100" i="3"/>
  <c r="D55" i="3"/>
  <c r="B92" i="3"/>
  <c r="C58" i="3"/>
  <c r="B96" i="3"/>
  <c r="C62" i="3"/>
  <c r="D59" i="3"/>
  <c r="C93" i="3"/>
  <c r="C64" i="3"/>
  <c r="E65" i="3"/>
  <c r="D99" i="3"/>
  <c r="C99" i="3"/>
  <c r="B89" i="3"/>
  <c r="C13" i="4"/>
  <c r="C31" i="4"/>
  <c r="B31" i="4"/>
  <c r="D13" i="5"/>
  <c r="B29" i="4"/>
  <c r="C11" i="4"/>
  <c r="C12" i="4"/>
  <c r="C29" i="4"/>
  <c r="D8" i="5" l="1"/>
  <c r="B14" i="4"/>
  <c r="C30" i="4"/>
  <c r="D14" i="5"/>
  <c r="D6" i="5"/>
  <c r="D12" i="5"/>
  <c r="B15" i="4"/>
  <c r="B36" i="4"/>
  <c r="D7" i="5"/>
  <c r="B35" i="4"/>
  <c r="C86" i="3"/>
  <c r="D52" i="3"/>
  <c r="C95" i="3"/>
  <c r="D61" i="3"/>
  <c r="C9" i="3"/>
  <c r="C85" i="3"/>
  <c r="D51" i="3"/>
  <c r="C7" i="3"/>
  <c r="C92" i="3"/>
  <c r="D58" i="3"/>
  <c r="C90" i="3"/>
  <c r="D56" i="3"/>
  <c r="C8" i="3"/>
  <c r="B11" i="3"/>
  <c r="E54" i="3"/>
  <c r="D88" i="3"/>
  <c r="E99" i="3"/>
  <c r="F65" i="3"/>
  <c r="E53" i="3"/>
  <c r="D87" i="3"/>
  <c r="B12" i="3"/>
  <c r="E57" i="3"/>
  <c r="D91" i="3"/>
  <c r="E59" i="3"/>
  <c r="D93" i="3"/>
  <c r="E55" i="3"/>
  <c r="D89" i="3"/>
  <c r="C98" i="3"/>
  <c r="D64" i="3"/>
  <c r="B28" i="4"/>
  <c r="B33" i="4" s="1"/>
  <c r="C28" i="4"/>
  <c r="C33" i="4" s="1"/>
  <c r="C14" i="4"/>
  <c r="C15" i="4" s="1"/>
  <c r="C97" i="3"/>
  <c r="D63" i="3"/>
  <c r="C96" i="3"/>
  <c r="D62" i="3"/>
  <c r="C94" i="3"/>
  <c r="D60" i="3"/>
  <c r="C11" i="3" l="1"/>
  <c r="E91" i="3"/>
  <c r="F57" i="3"/>
  <c r="E60" i="3"/>
  <c r="D94" i="3"/>
  <c r="C12" i="3"/>
  <c r="E89" i="3"/>
  <c r="F55" i="3"/>
  <c r="E58" i="3"/>
  <c r="D92" i="3"/>
  <c r="E64" i="3"/>
  <c r="D98" i="3"/>
  <c r="E87" i="3"/>
  <c r="F53" i="3"/>
  <c r="F99" i="3"/>
  <c r="G65" i="3"/>
  <c r="E63" i="3"/>
  <c r="D97" i="3"/>
  <c r="E88" i="3"/>
  <c r="F54" i="3"/>
  <c r="E93" i="3"/>
  <c r="F59" i="3"/>
  <c r="E56" i="3"/>
  <c r="D90" i="3"/>
  <c r="D8" i="3"/>
  <c r="B19" i="3"/>
  <c r="B20" i="3" s="1"/>
  <c r="B13" i="3"/>
  <c r="B23" i="3"/>
  <c r="D85" i="3"/>
  <c r="E51" i="3"/>
  <c r="D7" i="3"/>
  <c r="E62" i="3"/>
  <c r="D96" i="3"/>
  <c r="E61" i="3"/>
  <c r="D95" i="3"/>
  <c r="D9" i="3"/>
  <c r="E52" i="3"/>
  <c r="D86" i="3"/>
  <c r="E96" i="3" l="1"/>
  <c r="F62" i="3"/>
  <c r="E90" i="3"/>
  <c r="E8" i="3"/>
  <c r="F56" i="3"/>
  <c r="F93" i="3"/>
  <c r="G59" i="3"/>
  <c r="E85" i="3"/>
  <c r="F51" i="3"/>
  <c r="E7" i="3"/>
  <c r="E11" i="3" s="1"/>
  <c r="D12" i="3"/>
  <c r="E98" i="3"/>
  <c r="F64" i="3"/>
  <c r="E92" i="3"/>
  <c r="F58" i="3"/>
  <c r="E97" i="3"/>
  <c r="F63" i="3"/>
  <c r="F88" i="3"/>
  <c r="G54" i="3"/>
  <c r="C19" i="3"/>
  <c r="C20" i="3" s="1"/>
  <c r="C13" i="3"/>
  <c r="E94" i="3"/>
  <c r="F60" i="3"/>
  <c r="E95" i="3"/>
  <c r="F61" i="3"/>
  <c r="E9" i="3"/>
  <c r="D11" i="3"/>
  <c r="F89" i="3"/>
  <c r="G55" i="3"/>
  <c r="G99" i="3"/>
  <c r="H65" i="3"/>
  <c r="E86" i="3"/>
  <c r="F52" i="3"/>
  <c r="G57" i="3"/>
  <c r="F91" i="3"/>
  <c r="B24" i="3"/>
  <c r="F87" i="3"/>
  <c r="G53" i="3"/>
  <c r="C24" i="3" l="1"/>
  <c r="C28" i="3" s="1"/>
  <c r="H99" i="3"/>
  <c r="I65" i="3"/>
  <c r="E12" i="3"/>
  <c r="G93" i="3"/>
  <c r="H59" i="3"/>
  <c r="G63" i="3"/>
  <c r="F97" i="3"/>
  <c r="F90" i="3"/>
  <c r="G56" i="3"/>
  <c r="F8" i="3"/>
  <c r="F85" i="3"/>
  <c r="F7" i="3"/>
  <c r="G51" i="3"/>
  <c r="C23" i="3"/>
  <c r="G89" i="3"/>
  <c r="H55" i="3"/>
  <c r="G87" i="3"/>
  <c r="H53" i="3"/>
  <c r="B28" i="3"/>
  <c r="B29" i="3" s="1"/>
  <c r="F95" i="3"/>
  <c r="F9" i="3"/>
  <c r="G61" i="3"/>
  <c r="F92" i="3"/>
  <c r="G58" i="3"/>
  <c r="D19" i="3"/>
  <c r="D20" i="3" s="1"/>
  <c r="D24" i="3" s="1"/>
  <c r="D28" i="3" s="1"/>
  <c r="D13" i="3"/>
  <c r="G88" i="3"/>
  <c r="H54" i="3"/>
  <c r="F96" i="3"/>
  <c r="G62" i="3"/>
  <c r="H57" i="3"/>
  <c r="G91" i="3"/>
  <c r="F86" i="3"/>
  <c r="G52" i="3"/>
  <c r="F94" i="3"/>
  <c r="G60" i="3"/>
  <c r="F98" i="3"/>
  <c r="G64" i="3"/>
  <c r="C29" i="3" l="1"/>
  <c r="D29" i="3" s="1"/>
  <c r="H87" i="3"/>
  <c r="I53" i="3"/>
  <c r="H89" i="3"/>
  <c r="I55" i="3"/>
  <c r="G98" i="3"/>
  <c r="H64" i="3"/>
  <c r="E13" i="3"/>
  <c r="E19" i="3"/>
  <c r="E20" i="3" s="1"/>
  <c r="E24" i="3" s="1"/>
  <c r="G85" i="3"/>
  <c r="H51" i="3"/>
  <c r="G7" i="3"/>
  <c r="H56" i="3"/>
  <c r="G90" i="3"/>
  <c r="G8" i="3"/>
  <c r="G97" i="3"/>
  <c r="H63" i="3"/>
  <c r="G94" i="3"/>
  <c r="H60" i="3"/>
  <c r="F11" i="3"/>
  <c r="H91" i="3"/>
  <c r="I57" i="3"/>
  <c r="H62" i="3"/>
  <c r="G96" i="3"/>
  <c r="H88" i="3"/>
  <c r="I54" i="3"/>
  <c r="H93" i="3"/>
  <c r="I59" i="3"/>
  <c r="D23" i="3"/>
  <c r="I99" i="3"/>
  <c r="J65" i="3"/>
  <c r="G86" i="3"/>
  <c r="H52" i="3"/>
  <c r="H58" i="3"/>
  <c r="G92" i="3"/>
  <c r="G95" i="3"/>
  <c r="H61" i="3"/>
  <c r="G9" i="3"/>
  <c r="F12" i="3"/>
  <c r="G12" i="3" l="1"/>
  <c r="E28" i="3"/>
  <c r="E29" i="3" s="1"/>
  <c r="H86" i="3"/>
  <c r="I52" i="3"/>
  <c r="H94" i="3"/>
  <c r="I60" i="3"/>
  <c r="I93" i="3"/>
  <c r="J59" i="3"/>
  <c r="H97" i="3"/>
  <c r="I63" i="3"/>
  <c r="I64" i="3"/>
  <c r="H98" i="3"/>
  <c r="F13" i="3"/>
  <c r="F19" i="3"/>
  <c r="F20" i="3" s="1"/>
  <c r="F24" i="3" s="1"/>
  <c r="G13" i="3"/>
  <c r="G19" i="3"/>
  <c r="G20" i="3" s="1"/>
  <c r="G24" i="3" s="1"/>
  <c r="G28" i="3" s="1"/>
  <c r="J99" i="3"/>
  <c r="K65" i="3"/>
  <c r="E23" i="3"/>
  <c r="J54" i="3"/>
  <c r="I88" i="3"/>
  <c r="I89" i="3"/>
  <c r="J55" i="3"/>
  <c r="I61" i="3"/>
  <c r="H95" i="3"/>
  <c r="H9" i="3"/>
  <c r="H90" i="3"/>
  <c r="H8" i="3"/>
  <c r="I56" i="3"/>
  <c r="I87" i="3"/>
  <c r="J53" i="3"/>
  <c r="J57" i="3"/>
  <c r="I91" i="3"/>
  <c r="G11" i="3"/>
  <c r="H92" i="3"/>
  <c r="I58" i="3"/>
  <c r="H96" i="3"/>
  <c r="I62" i="3"/>
  <c r="H85" i="3"/>
  <c r="H7" i="3"/>
  <c r="I51" i="3"/>
  <c r="F28" i="3" l="1"/>
  <c r="F29" i="3" s="1"/>
  <c r="G29" i="3" s="1"/>
  <c r="J87" i="3"/>
  <c r="K53" i="3"/>
  <c r="I90" i="3"/>
  <c r="J56" i="3"/>
  <c r="I8" i="3"/>
  <c r="K99" i="3"/>
  <c r="L65" i="3"/>
  <c r="H11" i="3"/>
  <c r="H12" i="3"/>
  <c r="G23" i="3"/>
  <c r="I96" i="3"/>
  <c r="J62" i="3"/>
  <c r="I92" i="3"/>
  <c r="J58" i="3"/>
  <c r="I98" i="3"/>
  <c r="J64" i="3"/>
  <c r="J51" i="3"/>
  <c r="I85" i="3"/>
  <c r="I7" i="3"/>
  <c r="I11" i="3" s="1"/>
  <c r="I97" i="3"/>
  <c r="J63" i="3"/>
  <c r="K59" i="3"/>
  <c r="J93" i="3"/>
  <c r="I94" i="3"/>
  <c r="J60" i="3"/>
  <c r="I95" i="3"/>
  <c r="I9" i="3"/>
  <c r="J61" i="3"/>
  <c r="J89" i="3"/>
  <c r="K55" i="3"/>
  <c r="I86" i="3"/>
  <c r="J52" i="3"/>
  <c r="F23" i="3"/>
  <c r="J91" i="3"/>
  <c r="K57" i="3"/>
  <c r="J88" i="3"/>
  <c r="K54" i="3"/>
  <c r="J97" i="3" l="1"/>
  <c r="K63" i="3"/>
  <c r="K87" i="3"/>
  <c r="L53" i="3"/>
  <c r="H13" i="3"/>
  <c r="H19" i="3"/>
  <c r="H20" i="3" s="1"/>
  <c r="H24" i="3" s="1"/>
  <c r="H23" i="3"/>
  <c r="I12" i="3"/>
  <c r="J85" i="3"/>
  <c r="J7" i="3"/>
  <c r="K51" i="3"/>
  <c r="K64" i="3"/>
  <c r="J98" i="3"/>
  <c r="J94" i="3"/>
  <c r="K60" i="3"/>
  <c r="K93" i="3"/>
  <c r="L59" i="3"/>
  <c r="K89" i="3"/>
  <c r="L55" i="3"/>
  <c r="K56" i="3"/>
  <c r="J90" i="3"/>
  <c r="J8" i="3"/>
  <c r="J96" i="3"/>
  <c r="K62" i="3"/>
  <c r="J86" i="3"/>
  <c r="K52" i="3"/>
  <c r="L99" i="3"/>
  <c r="M65" i="3"/>
  <c r="J95" i="3"/>
  <c r="J9" i="3"/>
  <c r="K61" i="3"/>
  <c r="J92" i="3"/>
  <c r="K58" i="3"/>
  <c r="K88" i="3"/>
  <c r="L54" i="3"/>
  <c r="K91" i="3"/>
  <c r="L57" i="3"/>
  <c r="H28" i="3" l="1"/>
  <c r="H29" i="3" s="1"/>
  <c r="K7" i="3"/>
  <c r="K85" i="3"/>
  <c r="L51" i="3"/>
  <c r="K92" i="3"/>
  <c r="L58" i="3"/>
  <c r="J11" i="3"/>
  <c r="J12" i="3"/>
  <c r="K9" i="3"/>
  <c r="K95" i="3"/>
  <c r="L61" i="3"/>
  <c r="K90" i="3"/>
  <c r="K8" i="3"/>
  <c r="L56" i="3"/>
  <c r="L89" i="3"/>
  <c r="M55" i="3"/>
  <c r="M99" i="3"/>
  <c r="N65" i="3"/>
  <c r="L52" i="3"/>
  <c r="K86" i="3"/>
  <c r="K94" i="3"/>
  <c r="L60" i="3"/>
  <c r="L87" i="3"/>
  <c r="M53" i="3"/>
  <c r="M57" i="3"/>
  <c r="L91" i="3"/>
  <c r="K96" i="3"/>
  <c r="L62" i="3"/>
  <c r="K97" i="3"/>
  <c r="L63" i="3"/>
  <c r="I19" i="3"/>
  <c r="I20" i="3" s="1"/>
  <c r="I24" i="3"/>
  <c r="I28" i="3" s="1"/>
  <c r="I13" i="3"/>
  <c r="M59" i="3"/>
  <c r="L93" i="3"/>
  <c r="L88" i="3"/>
  <c r="M54" i="3"/>
  <c r="K98" i="3"/>
  <c r="L64" i="3"/>
  <c r="J13" i="3" l="1"/>
  <c r="J19" i="3"/>
  <c r="J20" i="3" s="1"/>
  <c r="J24" i="3" s="1"/>
  <c r="J28" i="3" s="1"/>
  <c r="L95" i="3"/>
  <c r="M61" i="3"/>
  <c r="L9" i="3"/>
  <c r="I23" i="3"/>
  <c r="L97" i="3"/>
  <c r="M63" i="3"/>
  <c r="M58" i="3"/>
  <c r="L92" i="3"/>
  <c r="M60" i="3"/>
  <c r="L94" i="3"/>
  <c r="L86" i="3"/>
  <c r="M52" i="3"/>
  <c r="N99" i="3"/>
  <c r="O65" i="3"/>
  <c r="M93" i="3"/>
  <c r="N59" i="3"/>
  <c r="M89" i="3"/>
  <c r="N55" i="3"/>
  <c r="L96" i="3"/>
  <c r="M62" i="3"/>
  <c r="K12" i="3"/>
  <c r="L98" i="3"/>
  <c r="M64" i="3"/>
  <c r="L85" i="3"/>
  <c r="L7" i="3"/>
  <c r="M51" i="3"/>
  <c r="M88" i="3"/>
  <c r="N54" i="3"/>
  <c r="M56" i="3"/>
  <c r="L90" i="3"/>
  <c r="L8" i="3"/>
  <c r="K11" i="3"/>
  <c r="M91" i="3"/>
  <c r="N57" i="3"/>
  <c r="M87" i="3"/>
  <c r="N53" i="3"/>
  <c r="I29" i="3"/>
  <c r="M97" i="3" l="1"/>
  <c r="N63" i="3"/>
  <c r="M95" i="3"/>
  <c r="N61" i="3"/>
  <c r="M9" i="3"/>
  <c r="N62" i="3"/>
  <c r="M96" i="3"/>
  <c r="M90" i="3"/>
  <c r="N56" i="3"/>
  <c r="M8" i="3"/>
  <c r="N88" i="3"/>
  <c r="O54" i="3"/>
  <c r="J29" i="3"/>
  <c r="N87" i="3"/>
  <c r="O53" i="3"/>
  <c r="O55" i="3"/>
  <c r="N89" i="3"/>
  <c r="O99" i="3"/>
  <c r="P65" i="3"/>
  <c r="L11" i="3"/>
  <c r="L12" i="3"/>
  <c r="M86" i="3"/>
  <c r="N52" i="3"/>
  <c r="M98" i="3"/>
  <c r="N64" i="3"/>
  <c r="M92" i="3"/>
  <c r="N58" i="3"/>
  <c r="N93" i="3"/>
  <c r="O59" i="3"/>
  <c r="M7" i="3"/>
  <c r="M85" i="3"/>
  <c r="N51" i="3"/>
  <c r="N91" i="3"/>
  <c r="O57" i="3"/>
  <c r="K23" i="3"/>
  <c r="K19" i="3"/>
  <c r="K20" i="3" s="1"/>
  <c r="K24" i="3" s="1"/>
  <c r="K28" i="3" s="1"/>
  <c r="K13" i="3"/>
  <c r="M94" i="3"/>
  <c r="N60" i="3"/>
  <c r="J23" i="3"/>
  <c r="N90" i="3" l="1"/>
  <c r="N8" i="3"/>
  <c r="O56" i="3"/>
  <c r="O91" i="3"/>
  <c r="P57" i="3"/>
  <c r="Q65" i="3"/>
  <c r="P99" i="3"/>
  <c r="N85" i="3"/>
  <c r="O51" i="3"/>
  <c r="N7" i="3"/>
  <c r="N11" i="3" s="1"/>
  <c r="N96" i="3"/>
  <c r="O62" i="3"/>
  <c r="O88" i="3"/>
  <c r="P54" i="3"/>
  <c r="N86" i="3"/>
  <c r="O52" i="3"/>
  <c r="L19" i="3"/>
  <c r="L20" i="3" s="1"/>
  <c r="L24" i="3" s="1"/>
  <c r="L28" i="3" s="1"/>
  <c r="L23" i="3"/>
  <c r="L13" i="3"/>
  <c r="M12" i="3"/>
  <c r="M11" i="3"/>
  <c r="B8" i="1" s="1"/>
  <c r="O93" i="3"/>
  <c r="P59" i="3"/>
  <c r="N94" i="3"/>
  <c r="O60" i="3"/>
  <c r="O89" i="3"/>
  <c r="P55" i="3"/>
  <c r="N95" i="3"/>
  <c r="N9" i="3"/>
  <c r="O61" i="3"/>
  <c r="O58" i="3"/>
  <c r="N92" i="3"/>
  <c r="O87" i="3"/>
  <c r="P53" i="3"/>
  <c r="N97" i="3"/>
  <c r="O63" i="3"/>
  <c r="N98" i="3"/>
  <c r="O64" i="3"/>
  <c r="K29" i="3"/>
  <c r="Q59" i="3" l="1"/>
  <c r="P93" i="3"/>
  <c r="O85" i="3"/>
  <c r="P51" i="3"/>
  <c r="O7" i="3"/>
  <c r="O11" i="3" s="1"/>
  <c r="O92" i="3"/>
  <c r="P58" i="3"/>
  <c r="R65" i="3"/>
  <c r="Q99" i="3"/>
  <c r="O96" i="3"/>
  <c r="P62" i="3"/>
  <c r="N12" i="3"/>
  <c r="O95" i="3"/>
  <c r="O9" i="3"/>
  <c r="P61" i="3"/>
  <c r="Q57" i="3"/>
  <c r="P91" i="3"/>
  <c r="Q55" i="3"/>
  <c r="P89" i="3"/>
  <c r="O86" i="3"/>
  <c r="P52" i="3"/>
  <c r="O98" i="3"/>
  <c r="P64" i="3"/>
  <c r="O90" i="3"/>
  <c r="P56" i="3"/>
  <c r="O8" i="3"/>
  <c r="P60" i="3"/>
  <c r="O94" i="3"/>
  <c r="Q54" i="3"/>
  <c r="P88" i="3"/>
  <c r="Q53" i="3"/>
  <c r="P87" i="3"/>
  <c r="M19" i="3"/>
  <c r="M20" i="3" s="1"/>
  <c r="B6" i="1" s="1"/>
  <c r="M13" i="3"/>
  <c r="B9" i="1" s="1"/>
  <c r="B5" i="1"/>
  <c r="L29" i="3"/>
  <c r="P63" i="3"/>
  <c r="O97" i="3"/>
  <c r="P98" i="3" l="1"/>
  <c r="Q64" i="3"/>
  <c r="M23" i="3"/>
  <c r="M24" i="3"/>
  <c r="Q52" i="3"/>
  <c r="P86" i="3"/>
  <c r="Q87" i="3"/>
  <c r="R53" i="3"/>
  <c r="Q89" i="3"/>
  <c r="R55" i="3"/>
  <c r="N13" i="3"/>
  <c r="N19" i="3"/>
  <c r="N20" i="3" s="1"/>
  <c r="N24" i="3" s="1"/>
  <c r="Q62" i="3"/>
  <c r="P96" i="3"/>
  <c r="R99" i="3"/>
  <c r="S65" i="3"/>
  <c r="Q58" i="3"/>
  <c r="P92" i="3"/>
  <c r="Q88" i="3"/>
  <c r="R54" i="3"/>
  <c r="Q91" i="3"/>
  <c r="R57" i="3"/>
  <c r="P85" i="3"/>
  <c r="Q51" i="3"/>
  <c r="P7" i="3"/>
  <c r="Q63" i="3"/>
  <c r="P97" i="3"/>
  <c r="Q60" i="3"/>
  <c r="P94" i="3"/>
  <c r="Q61" i="3"/>
  <c r="P95" i="3"/>
  <c r="P9" i="3"/>
  <c r="O12" i="3"/>
  <c r="Q56" i="3"/>
  <c r="P90" i="3"/>
  <c r="P8" i="3"/>
  <c r="Q93" i="3"/>
  <c r="R59" i="3"/>
  <c r="R89" i="3" l="1"/>
  <c r="S55" i="3"/>
  <c r="R87" i="3"/>
  <c r="S53" i="3"/>
  <c r="P11" i="3"/>
  <c r="O13" i="3"/>
  <c r="O19" i="3"/>
  <c r="O20" i="3" s="1"/>
  <c r="N28" i="3"/>
  <c r="Q95" i="3"/>
  <c r="Q9" i="3"/>
  <c r="R61" i="3"/>
  <c r="Q92" i="3"/>
  <c r="R58" i="3"/>
  <c r="Q94" i="3"/>
  <c r="R60" i="3"/>
  <c r="R93" i="3"/>
  <c r="S59" i="3"/>
  <c r="R63" i="3"/>
  <c r="Q97" i="3"/>
  <c r="Q86" i="3"/>
  <c r="R52" i="3"/>
  <c r="Q96" i="3"/>
  <c r="R62" i="3"/>
  <c r="Q98" i="3"/>
  <c r="R64" i="3"/>
  <c r="R88" i="3"/>
  <c r="S54" i="3"/>
  <c r="S99" i="3"/>
  <c r="T65" i="3"/>
  <c r="M28" i="3"/>
  <c r="M29" i="3" s="1"/>
  <c r="B7" i="1"/>
  <c r="Q85" i="3"/>
  <c r="Q7" i="3"/>
  <c r="R51" i="3"/>
  <c r="Q90" i="3"/>
  <c r="R56" i="3"/>
  <c r="Q8" i="3"/>
  <c r="P12" i="3"/>
  <c r="R91" i="3"/>
  <c r="S57" i="3"/>
  <c r="N23" i="3"/>
  <c r="N29" i="3" l="1"/>
  <c r="B11" i="1"/>
  <c r="T54" i="3"/>
  <c r="S88" i="3"/>
  <c r="O24" i="3"/>
  <c r="R90" i="3"/>
  <c r="R8" i="3"/>
  <c r="S56" i="3"/>
  <c r="T99" i="3"/>
  <c r="U65" i="3"/>
  <c r="S91" i="3"/>
  <c r="T57" i="3"/>
  <c r="P19" i="3"/>
  <c r="P20" i="3" s="1"/>
  <c r="P24" i="3" s="1"/>
  <c r="P28" i="3" s="1"/>
  <c r="P13" i="3"/>
  <c r="S87" i="3"/>
  <c r="T53" i="3"/>
  <c r="R96" i="3"/>
  <c r="S62" i="3"/>
  <c r="R95" i="3"/>
  <c r="S61" i="3"/>
  <c r="R9" i="3"/>
  <c r="S89" i="3"/>
  <c r="T55" i="3"/>
  <c r="R94" i="3"/>
  <c r="S60" i="3"/>
  <c r="Q11" i="3"/>
  <c r="R97" i="3"/>
  <c r="S63" i="3"/>
  <c r="S93" i="3"/>
  <c r="T59" i="3"/>
  <c r="O23" i="3"/>
  <c r="R98" i="3"/>
  <c r="S64" i="3"/>
  <c r="S58" i="3"/>
  <c r="R92" i="3"/>
  <c r="R85" i="3"/>
  <c r="S51" i="3"/>
  <c r="R7" i="3"/>
  <c r="Q12" i="3"/>
  <c r="R86" i="3"/>
  <c r="S52" i="3"/>
  <c r="U99" i="3" l="1"/>
  <c r="V65" i="3"/>
  <c r="S98" i="3"/>
  <c r="T64" i="3"/>
  <c r="T62" i="3"/>
  <c r="S96" i="3"/>
  <c r="S95" i="3"/>
  <c r="T61" i="3"/>
  <c r="S9" i="3"/>
  <c r="T93" i="3"/>
  <c r="U59" i="3"/>
  <c r="S86" i="3"/>
  <c r="T52" i="3"/>
  <c r="T63" i="3"/>
  <c r="S97" i="3"/>
  <c r="T87" i="3"/>
  <c r="U53" i="3"/>
  <c r="Q19" i="3"/>
  <c r="Q20" i="3" s="1"/>
  <c r="Q13" i="3"/>
  <c r="Q24" i="3"/>
  <c r="Q28" i="3" s="1"/>
  <c r="O28" i="3"/>
  <c r="O29" i="3" s="1"/>
  <c r="P29" i="3" s="1"/>
  <c r="Q29" i="3" s="1"/>
  <c r="S90" i="3"/>
  <c r="T56" i="3"/>
  <c r="S8" i="3"/>
  <c r="R11" i="3"/>
  <c r="S85" i="3"/>
  <c r="T51" i="3"/>
  <c r="S7" i="3"/>
  <c r="S94" i="3"/>
  <c r="T60" i="3"/>
  <c r="T88" i="3"/>
  <c r="U54" i="3"/>
  <c r="R12" i="3"/>
  <c r="P23" i="3"/>
  <c r="T89" i="3"/>
  <c r="U55" i="3"/>
  <c r="S92" i="3"/>
  <c r="T58" i="3"/>
  <c r="T91" i="3"/>
  <c r="U57" i="3"/>
  <c r="S12" i="3" l="1"/>
  <c r="U88" i="3"/>
  <c r="V54" i="3"/>
  <c r="S11" i="3"/>
  <c r="R19" i="3"/>
  <c r="R20" i="3" s="1"/>
  <c r="R24" i="3"/>
  <c r="R13" i="3"/>
  <c r="U93" i="3"/>
  <c r="V59" i="3"/>
  <c r="T94" i="3"/>
  <c r="U60" i="3"/>
  <c r="T95" i="3"/>
  <c r="U61" i="3"/>
  <c r="T9" i="3"/>
  <c r="U91" i="3"/>
  <c r="V57" i="3"/>
  <c r="Q23" i="3"/>
  <c r="T92" i="3"/>
  <c r="U58" i="3"/>
  <c r="T85" i="3"/>
  <c r="T7" i="3"/>
  <c r="T11" i="3" s="1"/>
  <c r="U51" i="3"/>
  <c r="U87" i="3"/>
  <c r="V53" i="3"/>
  <c r="T96" i="3"/>
  <c r="U62" i="3"/>
  <c r="U89" i="3"/>
  <c r="V55" i="3"/>
  <c r="T97" i="3"/>
  <c r="U63" i="3"/>
  <c r="V99" i="3"/>
  <c r="W65" i="3"/>
  <c r="S13" i="3"/>
  <c r="S19" i="3"/>
  <c r="S20" i="3" s="1"/>
  <c r="S24" i="3" s="1"/>
  <c r="S28" i="3" s="1"/>
  <c r="T98" i="3"/>
  <c r="U64" i="3"/>
  <c r="U56" i="3"/>
  <c r="T90" i="3"/>
  <c r="T8" i="3"/>
  <c r="T86" i="3"/>
  <c r="U52" i="3"/>
  <c r="S23" i="3" l="1"/>
  <c r="V51" i="3"/>
  <c r="U85" i="3"/>
  <c r="U7" i="3"/>
  <c r="V93" i="3"/>
  <c r="W59" i="3"/>
  <c r="U86" i="3"/>
  <c r="V52" i="3"/>
  <c r="R28" i="3"/>
  <c r="R29" i="3" s="1"/>
  <c r="S29" i="3" s="1"/>
  <c r="T12" i="3"/>
  <c r="V58" i="3"/>
  <c r="U92" i="3"/>
  <c r="V89" i="3"/>
  <c r="W55" i="3"/>
  <c r="U90" i="3"/>
  <c r="V56" i="3"/>
  <c r="U8" i="3"/>
  <c r="R23" i="3"/>
  <c r="U96" i="3"/>
  <c r="V62" i="3"/>
  <c r="U95" i="3"/>
  <c r="V61" i="3"/>
  <c r="U9" i="3"/>
  <c r="W54" i="3"/>
  <c r="V88" i="3"/>
  <c r="W99" i="3"/>
  <c r="X65" i="3"/>
  <c r="U97" i="3"/>
  <c r="V63" i="3"/>
  <c r="V91" i="3"/>
  <c r="W57" i="3"/>
  <c r="U98" i="3"/>
  <c r="V64" i="3"/>
  <c r="W53" i="3"/>
  <c r="V87" i="3"/>
  <c r="U94" i="3"/>
  <c r="V60" i="3"/>
  <c r="T13" i="3" l="1"/>
  <c r="T19" i="3"/>
  <c r="T20" i="3" s="1"/>
  <c r="T24" i="3" s="1"/>
  <c r="T23" i="3"/>
  <c r="V86" i="3"/>
  <c r="W52" i="3"/>
  <c r="W87" i="3"/>
  <c r="X53" i="3"/>
  <c r="V98" i="3"/>
  <c r="W64" i="3"/>
  <c r="V96" i="3"/>
  <c r="W62" i="3"/>
  <c r="W91" i="3"/>
  <c r="X57" i="3"/>
  <c r="V97" i="3"/>
  <c r="W63" i="3"/>
  <c r="X59" i="3"/>
  <c r="W93" i="3"/>
  <c r="X99" i="3"/>
  <c r="Y65" i="3"/>
  <c r="U11" i="3"/>
  <c r="W89" i="3"/>
  <c r="X55" i="3"/>
  <c r="U12" i="3"/>
  <c r="W88" i="3"/>
  <c r="X54" i="3"/>
  <c r="V92" i="3"/>
  <c r="W58" i="3"/>
  <c r="V95" i="3"/>
  <c r="W61" i="3"/>
  <c r="V9" i="3"/>
  <c r="W56" i="3"/>
  <c r="V90" i="3"/>
  <c r="V8" i="3"/>
  <c r="V94" i="3"/>
  <c r="W60" i="3"/>
  <c r="V85" i="3"/>
  <c r="W51" i="3"/>
  <c r="V7" i="3"/>
  <c r="T28" i="3" l="1"/>
  <c r="T29" i="3" s="1"/>
  <c r="X89" i="3"/>
  <c r="Y55" i="3"/>
  <c r="X62" i="3"/>
  <c r="W96" i="3"/>
  <c r="U13" i="3"/>
  <c r="U19" i="3"/>
  <c r="U20" i="3" s="1"/>
  <c r="U24" i="3" s="1"/>
  <c r="U23" i="3"/>
  <c r="Y99" i="3"/>
  <c r="Z65" i="3"/>
  <c r="W98" i="3"/>
  <c r="X64" i="3"/>
  <c r="W8" i="3"/>
  <c r="W90" i="3"/>
  <c r="X56" i="3"/>
  <c r="X87" i="3"/>
  <c r="Y53" i="3"/>
  <c r="W95" i="3"/>
  <c r="W9" i="3"/>
  <c r="X61" i="3"/>
  <c r="W86" i="3"/>
  <c r="X52" i="3"/>
  <c r="X93" i="3"/>
  <c r="Y59" i="3"/>
  <c r="V11" i="3"/>
  <c r="W92" i="3"/>
  <c r="X58" i="3"/>
  <c r="W97" i="3"/>
  <c r="X63" i="3"/>
  <c r="W85" i="3"/>
  <c r="W7" i="3"/>
  <c r="X51" i="3"/>
  <c r="V12" i="3"/>
  <c r="X88" i="3"/>
  <c r="Y54" i="3"/>
  <c r="X91" i="3"/>
  <c r="Y57" i="3"/>
  <c r="W94" i="3"/>
  <c r="X60" i="3"/>
  <c r="W12" i="3" l="1"/>
  <c r="U28" i="3"/>
  <c r="U29" i="3" s="1"/>
  <c r="W19" i="3"/>
  <c r="W20" i="3" s="1"/>
  <c r="W24" i="3" s="1"/>
  <c r="W28" i="3" s="1"/>
  <c r="W13" i="3"/>
  <c r="Y52" i="3"/>
  <c r="X86" i="3"/>
  <c r="V13" i="3"/>
  <c r="V19" i="3"/>
  <c r="V20" i="3" s="1"/>
  <c r="V24" i="3" s="1"/>
  <c r="V28" i="3" s="1"/>
  <c r="X97" i="3"/>
  <c r="Y63" i="3"/>
  <c r="Y87" i="3"/>
  <c r="Z53" i="3"/>
  <c r="X9" i="3"/>
  <c r="Y61" i="3"/>
  <c r="X95" i="3"/>
  <c r="X94" i="3"/>
  <c r="Y60" i="3"/>
  <c r="X92" i="3"/>
  <c r="Y58" i="3"/>
  <c r="X90" i="3"/>
  <c r="Y56" i="3"/>
  <c r="X8" i="3"/>
  <c r="X96" i="3"/>
  <c r="Y62" i="3"/>
  <c r="Y89" i="3"/>
  <c r="Z55" i="3"/>
  <c r="Z57" i="3"/>
  <c r="Y91" i="3"/>
  <c r="Z99" i="3"/>
  <c r="AA65" i="3"/>
  <c r="X85" i="3"/>
  <c r="X7" i="3"/>
  <c r="Y51" i="3"/>
  <c r="W11" i="3"/>
  <c r="Y93" i="3"/>
  <c r="Z59" i="3"/>
  <c r="Y64" i="3"/>
  <c r="X98" i="3"/>
  <c r="Y88" i="3"/>
  <c r="Z54" i="3"/>
  <c r="X11" i="3" l="1"/>
  <c r="AA99" i="3"/>
  <c r="AB65" i="3"/>
  <c r="V29" i="3"/>
  <c r="W29" i="3" s="1"/>
  <c r="Z88" i="3"/>
  <c r="AA54" i="3"/>
  <c r="Y86" i="3"/>
  <c r="Z52" i="3"/>
  <c r="Z89" i="3"/>
  <c r="AA55" i="3"/>
  <c r="Y95" i="3"/>
  <c r="Z61" i="3"/>
  <c r="Y9" i="3"/>
  <c r="Z58" i="3"/>
  <c r="Y92" i="3"/>
  <c r="V23" i="3"/>
  <c r="Z91" i="3"/>
  <c r="AA57" i="3"/>
  <c r="X12" i="3"/>
  <c r="Y94" i="3"/>
  <c r="Z60" i="3"/>
  <c r="Y98" i="3"/>
  <c r="Z64" i="3"/>
  <c r="Z93" i="3"/>
  <c r="AA59" i="3"/>
  <c r="Y96" i="3"/>
  <c r="Z62" i="3"/>
  <c r="Z87" i="3"/>
  <c r="AA53" i="3"/>
  <c r="W23" i="3"/>
  <c r="Z63" i="3"/>
  <c r="Y97" i="3"/>
  <c r="Y85" i="3"/>
  <c r="Y7" i="3"/>
  <c r="Z51" i="3"/>
  <c r="Y90" i="3"/>
  <c r="Z56" i="3"/>
  <c r="Y8" i="3"/>
  <c r="Z98" i="3" l="1"/>
  <c r="AA64" i="3"/>
  <c r="Z85" i="3"/>
  <c r="Z7" i="3"/>
  <c r="AA51" i="3"/>
  <c r="Y12" i="3"/>
  <c r="Z94" i="3"/>
  <c r="AA60" i="3"/>
  <c r="Z86" i="3"/>
  <c r="AA52" i="3"/>
  <c r="AA91" i="3"/>
  <c r="AB57" i="3"/>
  <c r="AA56" i="3"/>
  <c r="Z90" i="3"/>
  <c r="Z8" i="3"/>
  <c r="AA93" i="3"/>
  <c r="AB59" i="3"/>
  <c r="AA61" i="3"/>
  <c r="Z95" i="3"/>
  <c r="Z9" i="3"/>
  <c r="Y11" i="3"/>
  <c r="C8" i="1" s="1"/>
  <c r="AB55" i="3"/>
  <c r="AA89" i="3"/>
  <c r="Z97" i="3"/>
  <c r="AA63" i="3"/>
  <c r="X19" i="3"/>
  <c r="X20" i="3" s="1"/>
  <c r="X24" i="3" s="1"/>
  <c r="X28" i="3" s="1"/>
  <c r="X29" i="3" s="1"/>
  <c r="X13" i="3"/>
  <c r="X23" i="3"/>
  <c r="AA88" i="3"/>
  <c r="AB54" i="3"/>
  <c r="AA87" i="3"/>
  <c r="AB53" i="3"/>
  <c r="Z96" i="3"/>
  <c r="AA62" i="3"/>
  <c r="AC65" i="3"/>
  <c r="AB99" i="3"/>
  <c r="Z92" i="3"/>
  <c r="AA58" i="3"/>
  <c r="AC59" i="3" l="1"/>
  <c r="AB93" i="3"/>
  <c r="AA85" i="3"/>
  <c r="AB51" i="3"/>
  <c r="AA7" i="3"/>
  <c r="AA11" i="3" s="1"/>
  <c r="AA86" i="3"/>
  <c r="AB52" i="3"/>
  <c r="Z11" i="3"/>
  <c r="AC57" i="3"/>
  <c r="AB91" i="3"/>
  <c r="AC54" i="3"/>
  <c r="AB88" i="3"/>
  <c r="AA95" i="3"/>
  <c r="AB61" i="3"/>
  <c r="AA9" i="3"/>
  <c r="AA92" i="3"/>
  <c r="AB58" i="3"/>
  <c r="Z12" i="3"/>
  <c r="AA96" i="3"/>
  <c r="AB62" i="3"/>
  <c r="AC55" i="3"/>
  <c r="AB89" i="3"/>
  <c r="AC53" i="3"/>
  <c r="AB87" i="3"/>
  <c r="AA94" i="3"/>
  <c r="AB60" i="3"/>
  <c r="Y19" i="3"/>
  <c r="Y20" i="3" s="1"/>
  <c r="C6" i="1" s="1"/>
  <c r="Y23" i="3"/>
  <c r="Y13" i="3"/>
  <c r="C9" i="1" s="1"/>
  <c r="C5" i="1"/>
  <c r="AA98" i="3"/>
  <c r="AB64" i="3"/>
  <c r="AC99" i="3"/>
  <c r="AD65" i="3"/>
  <c r="AA97" i="3"/>
  <c r="AB63" i="3"/>
  <c r="AA90" i="3"/>
  <c r="AA8" i="3"/>
  <c r="AB56" i="3"/>
  <c r="Y24" i="3" l="1"/>
  <c r="Y28" i="3" s="1"/>
  <c r="Y29" i="3" s="1"/>
  <c r="AD99" i="3"/>
  <c r="AE65" i="3"/>
  <c r="Z19" i="3"/>
  <c r="Z20" i="3" s="1"/>
  <c r="Z23" i="3"/>
  <c r="Z13" i="3"/>
  <c r="AC52" i="3"/>
  <c r="AB86" i="3"/>
  <c r="AC58" i="3"/>
  <c r="AB92" i="3"/>
  <c r="C7" i="1"/>
  <c r="AB85" i="3"/>
  <c r="AB7" i="3"/>
  <c r="AC51" i="3"/>
  <c r="AC87" i="3"/>
  <c r="AD53" i="3"/>
  <c r="AC89" i="3"/>
  <c r="AD55" i="3"/>
  <c r="AC91" i="3"/>
  <c r="AD57" i="3"/>
  <c r="AC56" i="3"/>
  <c r="AB90" i="3"/>
  <c r="AB8" i="3"/>
  <c r="AA12" i="3"/>
  <c r="AC88" i="3"/>
  <c r="AD54" i="3"/>
  <c r="AB98" i="3"/>
  <c r="AC64" i="3"/>
  <c r="AC62" i="3"/>
  <c r="AB96" i="3"/>
  <c r="AC60" i="3"/>
  <c r="AB94" i="3"/>
  <c r="AB95" i="3"/>
  <c r="AC61" i="3"/>
  <c r="AB9" i="3"/>
  <c r="AC63" i="3"/>
  <c r="AB97" i="3"/>
  <c r="AC93" i="3"/>
  <c r="AD59" i="3"/>
  <c r="AB11" i="3" l="1"/>
  <c r="AE53" i="3"/>
  <c r="AD87" i="3"/>
  <c r="AC95" i="3"/>
  <c r="AD61" i="3"/>
  <c r="AC9" i="3"/>
  <c r="AC90" i="3"/>
  <c r="AC8" i="3"/>
  <c r="AD56" i="3"/>
  <c r="AD91" i="3"/>
  <c r="AE57" i="3"/>
  <c r="AD60" i="3"/>
  <c r="AC94" i="3"/>
  <c r="AE55" i="3"/>
  <c r="AD89" i="3"/>
  <c r="AC98" i="3"/>
  <c r="AD64" i="3"/>
  <c r="AC85" i="3"/>
  <c r="AD51" i="3"/>
  <c r="AC7" i="3"/>
  <c r="AC86" i="3"/>
  <c r="AD52" i="3"/>
  <c r="AE59" i="3"/>
  <c r="AD93" i="3"/>
  <c r="Z24" i="3"/>
  <c r="C11" i="1"/>
  <c r="AC92" i="3"/>
  <c r="AD58" i="3"/>
  <c r="AC96" i="3"/>
  <c r="AD62" i="3"/>
  <c r="AD88" i="3"/>
  <c r="AE54" i="3"/>
  <c r="AC97" i="3"/>
  <c r="AD63" i="3"/>
  <c r="AA13" i="3"/>
  <c r="AA19" i="3"/>
  <c r="AA20" i="3" s="1"/>
  <c r="AA24" i="3" s="1"/>
  <c r="AA28" i="3" s="1"/>
  <c r="AB12" i="3"/>
  <c r="AE99" i="3"/>
  <c r="AF65" i="3"/>
  <c r="AD94" i="3" l="1"/>
  <c r="AE60" i="3"/>
  <c r="AE93" i="3"/>
  <c r="AF59" i="3"/>
  <c r="AF57" i="3"/>
  <c r="AE91" i="3"/>
  <c r="AD96" i="3"/>
  <c r="AE62" i="3"/>
  <c r="AD85" i="3"/>
  <c r="AE51" i="3"/>
  <c r="AD7" i="3"/>
  <c r="AD11" i="3" s="1"/>
  <c r="AC12" i="3"/>
  <c r="AB19" i="3"/>
  <c r="AB20" i="3" s="1"/>
  <c r="AB13" i="3"/>
  <c r="AD98" i="3"/>
  <c r="AE64" i="3"/>
  <c r="AD95" i="3"/>
  <c r="AE61" i="3"/>
  <c r="AD9" i="3"/>
  <c r="AD97" i="3"/>
  <c r="AE63" i="3"/>
  <c r="AD86" i="3"/>
  <c r="AE52" i="3"/>
  <c r="AC11" i="3"/>
  <c r="AE88" i="3"/>
  <c r="AF54" i="3"/>
  <c r="AD90" i="3"/>
  <c r="AD8" i="3"/>
  <c r="AE56" i="3"/>
  <c r="AF99" i="3"/>
  <c r="AG65" i="3"/>
  <c r="AD92" i="3"/>
  <c r="AE58" i="3"/>
  <c r="AA23" i="3"/>
  <c r="Z28" i="3"/>
  <c r="Z29" i="3" s="1"/>
  <c r="AA29" i="3" s="1"/>
  <c r="AE89" i="3"/>
  <c r="AF55" i="3"/>
  <c r="AE87" i="3"/>
  <c r="AF53" i="3"/>
  <c r="AE96" i="3" l="1"/>
  <c r="AF62" i="3"/>
  <c r="AF58" i="3"/>
  <c r="AE92" i="3"/>
  <c r="AE85" i="3"/>
  <c r="AF51" i="3"/>
  <c r="AE7" i="3"/>
  <c r="AE90" i="3"/>
  <c r="AE8" i="3"/>
  <c r="AF56" i="3"/>
  <c r="AE98" i="3"/>
  <c r="AF64" i="3"/>
  <c r="AC19" i="3"/>
  <c r="AC20" i="3" s="1"/>
  <c r="AC24" i="3" s="1"/>
  <c r="AC28" i="3" s="1"/>
  <c r="AC13" i="3"/>
  <c r="AC23" i="3"/>
  <c r="AD12" i="3"/>
  <c r="AE97" i="3"/>
  <c r="AF63" i="3"/>
  <c r="AF93" i="3"/>
  <c r="AG59" i="3"/>
  <c r="AE86" i="3"/>
  <c r="AF52" i="3"/>
  <c r="AB23" i="3"/>
  <c r="AE94" i="3"/>
  <c r="AF60" i="3"/>
  <c r="AG99" i="3"/>
  <c r="AH65" i="3"/>
  <c r="AE95" i="3"/>
  <c r="AE9" i="3"/>
  <c r="AF61" i="3"/>
  <c r="AF87" i="3"/>
  <c r="AG53" i="3"/>
  <c r="AF89" i="3"/>
  <c r="AG55" i="3"/>
  <c r="AF88" i="3"/>
  <c r="AG54" i="3"/>
  <c r="AF91" i="3"/>
  <c r="AG57" i="3"/>
  <c r="AB24" i="3"/>
  <c r="AF90" i="3" l="1"/>
  <c r="AG56" i="3"/>
  <c r="AF8" i="3"/>
  <c r="AF95" i="3"/>
  <c r="AG61" i="3"/>
  <c r="AF9" i="3"/>
  <c r="AG63" i="3"/>
  <c r="AF97" i="3"/>
  <c r="AB28" i="3"/>
  <c r="AB29" i="3" s="1"/>
  <c r="AC29" i="3" s="1"/>
  <c r="AE11" i="3"/>
  <c r="AG51" i="3"/>
  <c r="AF7" i="3"/>
  <c r="AF85" i="3"/>
  <c r="AG87" i="3"/>
  <c r="AH53" i="3"/>
  <c r="AH99" i="3"/>
  <c r="AI65" i="3"/>
  <c r="AG93" i="3"/>
  <c r="AH59" i="3"/>
  <c r="AF98" i="3"/>
  <c r="AG64" i="3"/>
  <c r="AD19" i="3"/>
  <c r="AD20" i="3" s="1"/>
  <c r="AD24" i="3" s="1"/>
  <c r="AD28" i="3" s="1"/>
  <c r="AD13" i="3"/>
  <c r="AF96" i="3"/>
  <c r="AG62" i="3"/>
  <c r="AG91" i="3"/>
  <c r="AH57" i="3"/>
  <c r="AE12" i="3"/>
  <c r="AG60" i="3"/>
  <c r="AF94" i="3"/>
  <c r="AG88" i="3"/>
  <c r="AH54" i="3"/>
  <c r="AF92" i="3"/>
  <c r="AG58" i="3"/>
  <c r="AG89" i="3"/>
  <c r="AH55" i="3"/>
  <c r="AF86" i="3"/>
  <c r="AG52" i="3"/>
  <c r="AD23" i="3" l="1"/>
  <c r="AH93" i="3"/>
  <c r="AI59" i="3"/>
  <c r="AG95" i="3"/>
  <c r="AG9" i="3"/>
  <c r="AH61" i="3"/>
  <c r="AH88" i="3"/>
  <c r="AI54" i="3"/>
  <c r="AH87" i="3"/>
  <c r="AI53" i="3"/>
  <c r="AD29" i="3"/>
  <c r="AI99" i="3"/>
  <c r="AJ65" i="3"/>
  <c r="AG94" i="3"/>
  <c r="AH60" i="3"/>
  <c r="AG97" i="3"/>
  <c r="AH63" i="3"/>
  <c r="AG86" i="3"/>
  <c r="AH52" i="3"/>
  <c r="AH89" i="3"/>
  <c r="AI55" i="3"/>
  <c r="AF12" i="3"/>
  <c r="AH56" i="3"/>
  <c r="AG90" i="3"/>
  <c r="AG8" i="3"/>
  <c r="AH51" i="3"/>
  <c r="AG85" i="3"/>
  <c r="AG7" i="3"/>
  <c r="AG98" i="3"/>
  <c r="AH64" i="3"/>
  <c r="AE19" i="3"/>
  <c r="AE20" i="3" s="1"/>
  <c r="AE24" i="3" s="1"/>
  <c r="AE13" i="3"/>
  <c r="AH91" i="3"/>
  <c r="AI57" i="3"/>
  <c r="AG96" i="3"/>
  <c r="AH62" i="3"/>
  <c r="AG92" i="3"/>
  <c r="AH58" i="3"/>
  <c r="AF11" i="3"/>
  <c r="AI87" i="3" l="1"/>
  <c r="AJ53" i="3"/>
  <c r="AJ57" i="3"/>
  <c r="AI91" i="3"/>
  <c r="AH90" i="3"/>
  <c r="AI56" i="3"/>
  <c r="AH8" i="3"/>
  <c r="AJ54" i="3"/>
  <c r="AI88" i="3"/>
  <c r="AH95" i="3"/>
  <c r="AI61" i="3"/>
  <c r="AH9" i="3"/>
  <c r="AK65" i="3"/>
  <c r="AJ99" i="3"/>
  <c r="AI89" i="3"/>
  <c r="AJ55" i="3"/>
  <c r="AH86" i="3"/>
  <c r="AI52" i="3"/>
  <c r="AH98" i="3"/>
  <c r="AI64" i="3"/>
  <c r="AG11" i="3"/>
  <c r="AF19" i="3"/>
  <c r="AF20" i="3" s="1"/>
  <c r="AF24" i="3" s="1"/>
  <c r="AF13" i="3"/>
  <c r="AH97" i="3"/>
  <c r="AI63" i="3"/>
  <c r="AH96" i="3"/>
  <c r="AI62" i="3"/>
  <c r="AI93" i="3"/>
  <c r="AJ59" i="3"/>
  <c r="AE28" i="3"/>
  <c r="AE29" i="3" s="1"/>
  <c r="AE23" i="3"/>
  <c r="AH92" i="3"/>
  <c r="AI58" i="3"/>
  <c r="AG12" i="3"/>
  <c r="AH94" i="3"/>
  <c r="AI60" i="3"/>
  <c r="AH85" i="3"/>
  <c r="AI51" i="3"/>
  <c r="AH7" i="3"/>
  <c r="AF28" i="3" l="1"/>
  <c r="AF29" i="3" s="1"/>
  <c r="AI9" i="3"/>
  <c r="AI95" i="3"/>
  <c r="AJ61" i="3"/>
  <c r="AI8" i="3"/>
  <c r="AI90" i="3"/>
  <c r="AJ56" i="3"/>
  <c r="AH11" i="3"/>
  <c r="AI97" i="3"/>
  <c r="AJ63" i="3"/>
  <c r="AJ91" i="3"/>
  <c r="AK57" i="3"/>
  <c r="AI98" i="3"/>
  <c r="AJ64" i="3"/>
  <c r="AK59" i="3"/>
  <c r="AJ93" i="3"/>
  <c r="AI86" i="3"/>
  <c r="AJ52" i="3"/>
  <c r="AI96" i="3"/>
  <c r="AJ62" i="3"/>
  <c r="AI94" i="3"/>
  <c r="AJ60" i="3"/>
  <c r="AG13" i="3"/>
  <c r="AG19" i="3"/>
  <c r="AG20" i="3" s="1"/>
  <c r="AG24" i="3" s="1"/>
  <c r="AG28" i="3" s="1"/>
  <c r="AK53" i="3"/>
  <c r="AJ87" i="3"/>
  <c r="AF23" i="3"/>
  <c r="AJ88" i="3"/>
  <c r="AK54" i="3"/>
  <c r="AI7" i="3"/>
  <c r="AI11" i="3" s="1"/>
  <c r="AI85" i="3"/>
  <c r="AJ51" i="3"/>
  <c r="AH12" i="3"/>
  <c r="AJ89" i="3"/>
  <c r="AK55" i="3"/>
  <c r="AI92" i="3"/>
  <c r="AJ58" i="3"/>
  <c r="AK99" i="3"/>
  <c r="AL65" i="3"/>
  <c r="AI12" i="3" l="1"/>
  <c r="AG23" i="3"/>
  <c r="AG29" i="3"/>
  <c r="AK62" i="3"/>
  <c r="AJ96" i="3"/>
  <c r="AI19" i="3"/>
  <c r="AI20" i="3" s="1"/>
  <c r="AI24" i="3" s="1"/>
  <c r="AI28" i="3" s="1"/>
  <c r="AI13" i="3"/>
  <c r="AK87" i="3"/>
  <c r="AL53" i="3"/>
  <c r="AJ95" i="3"/>
  <c r="AK61" i="3"/>
  <c r="AJ9" i="3"/>
  <c r="AJ94" i="3"/>
  <c r="AK60" i="3"/>
  <c r="AJ90" i="3"/>
  <c r="AJ8" i="3"/>
  <c r="AK56" i="3"/>
  <c r="AM65" i="3"/>
  <c r="AL99" i="3"/>
  <c r="AJ97" i="3"/>
  <c r="AK63" i="3"/>
  <c r="AK88" i="3"/>
  <c r="AL54" i="3"/>
  <c r="AJ92" i="3"/>
  <c r="AK58" i="3"/>
  <c r="AJ98" i="3"/>
  <c r="AK64" i="3"/>
  <c r="AK91" i="3"/>
  <c r="AL57" i="3"/>
  <c r="AJ86" i="3"/>
  <c r="AK52" i="3"/>
  <c r="AK93" i="3"/>
  <c r="AL59" i="3"/>
  <c r="AK89" i="3"/>
  <c r="AL55" i="3"/>
  <c r="AH19" i="3"/>
  <c r="AH20" i="3" s="1"/>
  <c r="AH24" i="3" s="1"/>
  <c r="AH28" i="3" s="1"/>
  <c r="AH13" i="3"/>
  <c r="AJ85" i="3"/>
  <c r="AK51" i="3"/>
  <c r="AJ7" i="3"/>
  <c r="AI23" i="3" l="1"/>
  <c r="AH29" i="3"/>
  <c r="AI29" i="3" s="1"/>
  <c r="AK9" i="3"/>
  <c r="AK95" i="3"/>
  <c r="AL61" i="3"/>
  <c r="AL88" i="3"/>
  <c r="AM54" i="3"/>
  <c r="AK97" i="3"/>
  <c r="AL63" i="3"/>
  <c r="AJ11" i="3"/>
  <c r="AJ12" i="3"/>
  <c r="AM57" i="3"/>
  <c r="AL91" i="3"/>
  <c r="AN65" i="3"/>
  <c r="AM99" i="3"/>
  <c r="AL87" i="3"/>
  <c r="AM53" i="3"/>
  <c r="AL89" i="3"/>
  <c r="AM55" i="3"/>
  <c r="AL52" i="3"/>
  <c r="AK86" i="3"/>
  <c r="AK85" i="3"/>
  <c r="AK7" i="3"/>
  <c r="AK11" i="3" s="1"/>
  <c r="D8" i="1" s="1"/>
  <c r="AL51" i="3"/>
  <c r="AL64" i="3"/>
  <c r="AK98" i="3"/>
  <c r="AL93" i="3"/>
  <c r="AM59" i="3"/>
  <c r="AK90" i="3"/>
  <c r="AL56" i="3"/>
  <c r="AK8" i="3"/>
  <c r="AH23" i="3"/>
  <c r="AK92" i="3"/>
  <c r="AL58" i="3"/>
  <c r="AK94" i="3"/>
  <c r="AL60" i="3"/>
  <c r="AK96" i="3"/>
  <c r="AL62" i="3"/>
  <c r="AL98" i="3" l="1"/>
  <c r="AM64" i="3"/>
  <c r="AM89" i="3"/>
  <c r="AN55" i="3"/>
  <c r="AL85" i="3"/>
  <c r="AL7" i="3"/>
  <c r="AM51" i="3"/>
  <c r="AK12" i="3"/>
  <c r="AL90" i="3"/>
  <c r="AM56" i="3"/>
  <c r="AL8" i="3"/>
  <c r="AL94" i="3"/>
  <c r="AM60" i="3"/>
  <c r="AM91" i="3"/>
  <c r="AN57" i="3"/>
  <c r="AJ13" i="3"/>
  <c r="AJ19" i="3"/>
  <c r="AJ20" i="3" s="1"/>
  <c r="AJ24" i="3" s="1"/>
  <c r="AJ28" i="3" s="1"/>
  <c r="AJ29" i="3" s="1"/>
  <c r="AL92" i="3"/>
  <c r="AM58" i="3"/>
  <c r="AM63" i="3"/>
  <c r="AL97" i="3"/>
  <c r="AL86" i="3"/>
  <c r="AM52" i="3"/>
  <c r="AM88" i="3"/>
  <c r="AN54" i="3"/>
  <c r="AM87" i="3"/>
  <c r="AN53" i="3"/>
  <c r="AL95" i="3"/>
  <c r="AM61" i="3"/>
  <c r="AL9" i="3"/>
  <c r="AM93" i="3"/>
  <c r="AN59" i="3"/>
  <c r="AM62" i="3"/>
  <c r="AL96" i="3"/>
  <c r="AO65" i="3"/>
  <c r="AN99" i="3"/>
  <c r="AK19" i="3" l="1"/>
  <c r="AK20" i="3" s="1"/>
  <c r="D6" i="1" s="1"/>
  <c r="AK23" i="3"/>
  <c r="AK13" i="3"/>
  <c r="D9" i="1" s="1"/>
  <c r="D5" i="1"/>
  <c r="AM97" i="3"/>
  <c r="AN63" i="3"/>
  <c r="AM92" i="3"/>
  <c r="AN58" i="3"/>
  <c r="AL12" i="3"/>
  <c r="AJ23" i="3"/>
  <c r="AO59" i="3"/>
  <c r="AN93" i="3"/>
  <c r="AO57" i="3"/>
  <c r="AN91" i="3"/>
  <c r="AN62" i="3"/>
  <c r="AM96" i="3"/>
  <c r="AM90" i="3"/>
  <c r="AN56" i="3"/>
  <c r="AM8" i="3"/>
  <c r="AN61" i="3"/>
  <c r="AM95" i="3"/>
  <c r="AM9" i="3"/>
  <c r="AL11" i="3"/>
  <c r="AO55" i="3"/>
  <c r="AN89" i="3"/>
  <c r="AM98" i="3"/>
  <c r="AN64" i="3"/>
  <c r="AM7" i="3"/>
  <c r="AM85" i="3"/>
  <c r="AN51" i="3"/>
  <c r="AO53" i="3"/>
  <c r="AN87" i="3"/>
  <c r="AO54" i="3"/>
  <c r="AN88" i="3"/>
  <c r="AO99" i="3"/>
  <c r="AP65" i="3"/>
  <c r="AN52" i="3"/>
  <c r="AM86" i="3"/>
  <c r="AM94" i="3"/>
  <c r="AN60" i="3"/>
  <c r="AK24" i="3" l="1"/>
  <c r="AK28" i="3" s="1"/>
  <c r="AK29" i="3" s="1"/>
  <c r="AO63" i="3"/>
  <c r="AN97" i="3"/>
  <c r="AO58" i="3"/>
  <c r="AN92" i="3"/>
  <c r="AO64" i="3"/>
  <c r="AN98" i="3"/>
  <c r="AN96" i="3"/>
  <c r="AO62" i="3"/>
  <c r="AO56" i="3"/>
  <c r="AN90" i="3"/>
  <c r="AN8" i="3"/>
  <c r="C21" i="4"/>
  <c r="C23" i="4"/>
  <c r="C6" i="5"/>
  <c r="E6" i="5" s="1"/>
  <c r="F6" i="5" s="1"/>
  <c r="C8" i="5"/>
  <c r="E8" i="5" s="1"/>
  <c r="F8" i="5" s="1"/>
  <c r="C7" i="5"/>
  <c r="E7" i="5" s="1"/>
  <c r="C22" i="4"/>
  <c r="AL19" i="3"/>
  <c r="AL20" i="3" s="1"/>
  <c r="AL24" i="3" s="1"/>
  <c r="AL13" i="3"/>
  <c r="AL23" i="3"/>
  <c r="AM12" i="3"/>
  <c r="AO60" i="3"/>
  <c r="AN94" i="3"/>
  <c r="AO52" i="3"/>
  <c r="AN86" i="3"/>
  <c r="AO91" i="3"/>
  <c r="AP57" i="3"/>
  <c r="AO61" i="3"/>
  <c r="AN95" i="3"/>
  <c r="AN9" i="3"/>
  <c r="AM11" i="3"/>
  <c r="AP99" i="3"/>
  <c r="AQ65" i="3"/>
  <c r="AO88" i="3"/>
  <c r="AP54" i="3"/>
  <c r="AO87" i="3"/>
  <c r="AP53" i="3"/>
  <c r="AN85" i="3"/>
  <c r="AN7" i="3"/>
  <c r="AO51" i="3"/>
  <c r="AO89" i="3"/>
  <c r="AP55" i="3"/>
  <c r="AO93" i="3"/>
  <c r="AP59" i="3"/>
  <c r="D7" i="1" l="1"/>
  <c r="AP61" i="3"/>
  <c r="AO95" i="3"/>
  <c r="AO9" i="3"/>
  <c r="AL28" i="3"/>
  <c r="AP89" i="3"/>
  <c r="AQ55" i="3"/>
  <c r="D11" i="1"/>
  <c r="AL29" i="3"/>
  <c r="AO96" i="3"/>
  <c r="AP62" i="3"/>
  <c r="AP87" i="3"/>
  <c r="AQ53" i="3"/>
  <c r="AO98" i="3"/>
  <c r="AP64" i="3"/>
  <c r="AO90" i="3"/>
  <c r="AP56" i="3"/>
  <c r="AO8" i="3"/>
  <c r="AN11" i="3"/>
  <c r="AN12" i="3"/>
  <c r="D23" i="4"/>
  <c r="E23" i="4" s="1"/>
  <c r="AP93" i="3"/>
  <c r="AQ59" i="3"/>
  <c r="D22" i="4"/>
  <c r="E22" i="4" s="1"/>
  <c r="AO86" i="3"/>
  <c r="AP52" i="3"/>
  <c r="D21" i="4"/>
  <c r="E21" i="4" s="1"/>
  <c r="AO85" i="3"/>
  <c r="AP51" i="3"/>
  <c r="AO7" i="3"/>
  <c r="AP91" i="3"/>
  <c r="AQ57" i="3"/>
  <c r="F7" i="5"/>
  <c r="AQ54" i="3"/>
  <c r="AP88" i="3"/>
  <c r="AO92" i="3"/>
  <c r="AP58" i="3"/>
  <c r="AP60" i="3"/>
  <c r="AO94" i="3"/>
  <c r="AR65" i="3"/>
  <c r="AQ99" i="3"/>
  <c r="AM19" i="3"/>
  <c r="AM20" i="3" s="1"/>
  <c r="AM13" i="3"/>
  <c r="AO97" i="3"/>
  <c r="AP63" i="3"/>
  <c r="AO11" i="3" l="1"/>
  <c r="D32" i="4"/>
  <c r="B39" i="4"/>
  <c r="D31" i="4"/>
  <c r="B37" i="4"/>
  <c r="D30" i="4"/>
  <c r="D29" i="4"/>
  <c r="D28" i="4"/>
  <c r="AQ60" i="3"/>
  <c r="AP94" i="3"/>
  <c r="AQ89" i="3"/>
  <c r="AR55" i="3"/>
  <c r="AP96" i="3"/>
  <c r="AQ62" i="3"/>
  <c r="AP92" i="3"/>
  <c r="AQ58" i="3"/>
  <c r="AP86" i="3"/>
  <c r="AQ52" i="3"/>
  <c r="AP90" i="3"/>
  <c r="AP8" i="3"/>
  <c r="AQ56" i="3"/>
  <c r="AR99" i="3"/>
  <c r="AS65" i="3"/>
  <c r="AQ91" i="3"/>
  <c r="AR57" i="3"/>
  <c r="AN13" i="3"/>
  <c r="AN19" i="3"/>
  <c r="AN20" i="3" s="1"/>
  <c r="AN24" i="3" s="1"/>
  <c r="AN28" i="3" s="1"/>
  <c r="AQ63" i="3"/>
  <c r="AP97" i="3"/>
  <c r="AQ88" i="3"/>
  <c r="AR54" i="3"/>
  <c r="AP98" i="3"/>
  <c r="AQ64" i="3"/>
  <c r="AM23" i="3"/>
  <c r="AQ93" i="3"/>
  <c r="AR59" i="3"/>
  <c r="AQ51" i="3"/>
  <c r="AP85" i="3"/>
  <c r="AP7" i="3"/>
  <c r="AO12" i="3"/>
  <c r="AM24" i="3"/>
  <c r="AR53" i="3"/>
  <c r="AQ87" i="3"/>
  <c r="AP95" i="3"/>
  <c r="AP9" i="3"/>
  <c r="AQ61" i="3"/>
  <c r="D33" i="4" l="1"/>
  <c r="AQ8" i="3"/>
  <c r="AR56" i="3"/>
  <c r="AQ90" i="3"/>
  <c r="AQ94" i="3"/>
  <c r="AR60" i="3"/>
  <c r="AS55" i="3"/>
  <c r="AR89" i="3"/>
  <c r="AR87" i="3"/>
  <c r="AS53" i="3"/>
  <c r="AO13" i="3"/>
  <c r="AO19" i="3"/>
  <c r="AO20" i="3" s="1"/>
  <c r="AO24" i="3" s="1"/>
  <c r="AO28" i="3" s="1"/>
  <c r="AP12" i="3"/>
  <c r="AN23" i="3"/>
  <c r="AQ85" i="3"/>
  <c r="AQ7" i="3"/>
  <c r="AR51" i="3"/>
  <c r="AS59" i="3"/>
  <c r="AR93" i="3"/>
  <c r="AS99" i="3"/>
  <c r="AT65" i="3"/>
  <c r="AM28" i="3"/>
  <c r="AM29" i="3" s="1"/>
  <c r="AN29" i="3" s="1"/>
  <c r="AP11" i="3"/>
  <c r="AQ86" i="3"/>
  <c r="AR52" i="3"/>
  <c r="AQ92" i="3"/>
  <c r="AR58" i="3"/>
  <c r="AQ95" i="3"/>
  <c r="AR61" i="3"/>
  <c r="AQ9" i="3"/>
  <c r="AR91" i="3"/>
  <c r="AS57" i="3"/>
  <c r="AQ96" i="3"/>
  <c r="AR62" i="3"/>
  <c r="AR88" i="3"/>
  <c r="AS54" i="3"/>
  <c r="AQ97" i="3"/>
  <c r="AR63" i="3"/>
  <c r="AQ98" i="3"/>
  <c r="AR64" i="3"/>
  <c r="AO23" i="3" l="1"/>
  <c r="AO29" i="3"/>
  <c r="AS87" i="3"/>
  <c r="AT53" i="3"/>
  <c r="AS93" i="3"/>
  <c r="AT59" i="3"/>
  <c r="AR85" i="3"/>
  <c r="AS51" i="3"/>
  <c r="AR7" i="3"/>
  <c r="AR86" i="3"/>
  <c r="AS52" i="3"/>
  <c r="AT99" i="3"/>
  <c r="AU65" i="3"/>
  <c r="AS89" i="3"/>
  <c r="AT55" i="3"/>
  <c r="AR90" i="3"/>
  <c r="AR8" i="3"/>
  <c r="AS56" i="3"/>
  <c r="AS91" i="3"/>
  <c r="AT57" i="3"/>
  <c r="AR95" i="3"/>
  <c r="AR9" i="3"/>
  <c r="AS61" i="3"/>
  <c r="AQ11" i="3"/>
  <c r="AR97" i="3"/>
  <c r="AS63" i="3"/>
  <c r="AR98" i="3"/>
  <c r="AS64" i="3"/>
  <c r="AS58" i="3"/>
  <c r="AR92" i="3"/>
  <c r="AR94" i="3"/>
  <c r="AS60" i="3"/>
  <c r="AQ12" i="3"/>
  <c r="AS88" i="3"/>
  <c r="AT54" i="3"/>
  <c r="AP19" i="3"/>
  <c r="AP20" i="3" s="1"/>
  <c r="AP24" i="3" s="1"/>
  <c r="AP28" i="3" s="1"/>
  <c r="AP13" i="3"/>
  <c r="AR96" i="3"/>
  <c r="AS62" i="3"/>
  <c r="AP23" i="3" l="1"/>
  <c r="AP29" i="3"/>
  <c r="AS92" i="3"/>
  <c r="AT58" i="3"/>
  <c r="AT51" i="3"/>
  <c r="AS85" i="3"/>
  <c r="AS7" i="3"/>
  <c r="AT88" i="3"/>
  <c r="AU54" i="3"/>
  <c r="AS95" i="3"/>
  <c r="AT61" i="3"/>
  <c r="AS9" i="3"/>
  <c r="AR11" i="3"/>
  <c r="AR12" i="3"/>
  <c r="AU53" i="3"/>
  <c r="AT87" i="3"/>
  <c r="AU99" i="3"/>
  <c r="AV65" i="3"/>
  <c r="AQ19" i="3"/>
  <c r="AQ20" i="3" s="1"/>
  <c r="AQ24" i="3" s="1"/>
  <c r="AQ13" i="3"/>
  <c r="AT91" i="3"/>
  <c r="AU57" i="3"/>
  <c r="AS90" i="3"/>
  <c r="AS8" i="3"/>
  <c r="AT56" i="3"/>
  <c r="AT89" i="3"/>
  <c r="AU55" i="3"/>
  <c r="AS86" i="3"/>
  <c r="AT52" i="3"/>
  <c r="AS94" i="3"/>
  <c r="AT60" i="3"/>
  <c r="AS96" i="3"/>
  <c r="AT62" i="3"/>
  <c r="AU59" i="3"/>
  <c r="AT93" i="3"/>
  <c r="AS98" i="3"/>
  <c r="AT64" i="3"/>
  <c r="AT63" i="3"/>
  <c r="AS97" i="3"/>
  <c r="AQ28" i="3" l="1"/>
  <c r="AQ29" i="3" s="1"/>
  <c r="AR19" i="3"/>
  <c r="AR20" i="3" s="1"/>
  <c r="AR24" i="3" s="1"/>
  <c r="AR28" i="3" s="1"/>
  <c r="AR13" i="3"/>
  <c r="AU91" i="3"/>
  <c r="AV57" i="3"/>
  <c r="AU88" i="3"/>
  <c r="AV54" i="3"/>
  <c r="AS12" i="3"/>
  <c r="AU93" i="3"/>
  <c r="AV59" i="3"/>
  <c r="AT96" i="3"/>
  <c r="AU62" i="3"/>
  <c r="AQ23" i="3"/>
  <c r="AS11" i="3"/>
  <c r="AV99" i="3"/>
  <c r="AW65" i="3"/>
  <c r="AT98" i="3"/>
  <c r="AU64" i="3"/>
  <c r="AT92" i="3"/>
  <c r="AU58" i="3"/>
  <c r="AT95" i="3"/>
  <c r="AU61" i="3"/>
  <c r="AT9" i="3"/>
  <c r="AT94" i="3"/>
  <c r="AU60" i="3"/>
  <c r="AT86" i="3"/>
  <c r="AU52" i="3"/>
  <c r="AT97" i="3"/>
  <c r="AU63" i="3"/>
  <c r="AU89" i="3"/>
  <c r="AV55" i="3"/>
  <c r="AT85" i="3"/>
  <c r="AU51" i="3"/>
  <c r="AT7" i="3"/>
  <c r="AU56" i="3"/>
  <c r="AT8" i="3"/>
  <c r="AT90" i="3"/>
  <c r="AU87" i="3"/>
  <c r="AV53" i="3"/>
  <c r="AW54" i="3" l="1"/>
  <c r="AV88" i="3"/>
  <c r="AU86" i="3"/>
  <c r="AV52" i="3"/>
  <c r="AW55" i="3"/>
  <c r="AV89" i="3"/>
  <c r="AU97" i="3"/>
  <c r="AV63" i="3"/>
  <c r="AR23" i="3"/>
  <c r="AS19" i="3"/>
  <c r="AS20" i="3" s="1"/>
  <c r="AS24" i="3" s="1"/>
  <c r="AS28" i="3" s="1"/>
  <c r="AS13" i="3"/>
  <c r="AW99" i="3"/>
  <c r="AX65" i="3"/>
  <c r="AU7" i="3"/>
  <c r="AU85" i="3"/>
  <c r="AV51" i="3"/>
  <c r="AV58" i="3"/>
  <c r="AU92" i="3"/>
  <c r="AU98" i="3"/>
  <c r="AV64" i="3"/>
  <c r="AV91" i="3"/>
  <c r="AW57" i="3"/>
  <c r="AV87" i="3"/>
  <c r="AW53" i="3"/>
  <c r="AT12" i="3"/>
  <c r="AU94" i="3"/>
  <c r="AV60" i="3"/>
  <c r="AU96" i="3"/>
  <c r="AV62" i="3"/>
  <c r="AU8" i="3"/>
  <c r="AU90" i="3"/>
  <c r="AV56" i="3"/>
  <c r="AT11" i="3"/>
  <c r="AV61" i="3"/>
  <c r="AU9" i="3"/>
  <c r="AU95" i="3"/>
  <c r="AV93" i="3"/>
  <c r="AW59" i="3"/>
  <c r="AR29" i="3"/>
  <c r="AU12" i="3" l="1"/>
  <c r="AS23" i="3"/>
  <c r="AV97" i="3"/>
  <c r="AW63" i="3"/>
  <c r="AU11" i="3"/>
  <c r="AV92" i="3"/>
  <c r="AW58" i="3"/>
  <c r="AV85" i="3"/>
  <c r="AW51" i="3"/>
  <c r="AV7" i="3"/>
  <c r="AV11" i="3" s="1"/>
  <c r="AV94" i="3"/>
  <c r="AW60" i="3"/>
  <c r="AX99" i="3"/>
  <c r="AY65" i="3"/>
  <c r="AW91" i="3"/>
  <c r="AX57" i="3"/>
  <c r="AV98" i="3"/>
  <c r="AW64" i="3"/>
  <c r="AV96" i="3"/>
  <c r="AW62" i="3"/>
  <c r="AW89" i="3"/>
  <c r="AX55" i="3"/>
  <c r="AT23" i="3"/>
  <c r="AT13" i="3"/>
  <c r="AT19" i="3"/>
  <c r="AT20" i="3" s="1"/>
  <c r="AT24" i="3" s="1"/>
  <c r="AT28" i="3" s="1"/>
  <c r="AW87" i="3"/>
  <c r="AX53" i="3"/>
  <c r="AV95" i="3"/>
  <c r="AV9" i="3"/>
  <c r="AW61" i="3"/>
  <c r="AV90" i="3"/>
  <c r="AV8" i="3"/>
  <c r="AW56" i="3"/>
  <c r="AS29" i="3"/>
  <c r="AX59" i="3"/>
  <c r="AW93" i="3"/>
  <c r="AV86" i="3"/>
  <c r="AW52" i="3"/>
  <c r="AW88" i="3"/>
  <c r="AX54" i="3"/>
  <c r="AX93" i="3" l="1"/>
  <c r="AY59" i="3"/>
  <c r="AW94" i="3"/>
  <c r="AX60" i="3"/>
  <c r="AW90" i="3"/>
  <c r="AX56" i="3"/>
  <c r="AW8" i="3"/>
  <c r="AX62" i="3"/>
  <c r="AW96" i="3"/>
  <c r="AW97" i="3"/>
  <c r="AX63" i="3"/>
  <c r="AV12" i="3"/>
  <c r="AT29" i="3"/>
  <c r="AX89" i="3"/>
  <c r="AY55" i="3"/>
  <c r="AW85" i="3"/>
  <c r="AW7" i="3"/>
  <c r="AX51" i="3"/>
  <c r="AX58" i="3"/>
  <c r="AW92" i="3"/>
  <c r="AY53" i="3"/>
  <c r="AX87" i="3"/>
  <c r="AW86" i="3"/>
  <c r="AX52" i="3"/>
  <c r="AY99" i="3"/>
  <c r="AZ65" i="3"/>
  <c r="AW95" i="3"/>
  <c r="AX61" i="3"/>
  <c r="AW9" i="3"/>
  <c r="AW98" i="3"/>
  <c r="AX64" i="3"/>
  <c r="AX88" i="3"/>
  <c r="AY54" i="3"/>
  <c r="AX91" i="3"/>
  <c r="AY57" i="3"/>
  <c r="AU19" i="3"/>
  <c r="AU20" i="3" s="1"/>
  <c r="AU24" i="3" s="1"/>
  <c r="AU28" i="3" s="1"/>
  <c r="AU13" i="3"/>
  <c r="AY52" i="3" l="1"/>
  <c r="AX86" i="3"/>
  <c r="AY88" i="3"/>
  <c r="AZ54" i="3"/>
  <c r="AX96" i="3"/>
  <c r="AY62" i="3"/>
  <c r="AX94" i="3"/>
  <c r="AY60" i="3"/>
  <c r="AZ57" i="3"/>
  <c r="AY91" i="3"/>
  <c r="AY87" i="3"/>
  <c r="AZ53" i="3"/>
  <c r="AY64" i="3"/>
  <c r="AX98" i="3"/>
  <c r="AX90" i="3"/>
  <c r="AX8" i="3"/>
  <c r="AY56" i="3"/>
  <c r="AW12" i="3"/>
  <c r="AY89" i="3"/>
  <c r="AZ55" i="3"/>
  <c r="BA65" i="3"/>
  <c r="AZ99" i="3"/>
  <c r="AY93" i="3"/>
  <c r="AZ59" i="3"/>
  <c r="AV13" i="3"/>
  <c r="AV19" i="3"/>
  <c r="AV20" i="3" s="1"/>
  <c r="AV24" i="3" s="1"/>
  <c r="AV28" i="3" s="1"/>
  <c r="AV23" i="3"/>
  <c r="AX97" i="3"/>
  <c r="AY63" i="3"/>
  <c r="AX92" i="3"/>
  <c r="AY58" i="3"/>
  <c r="AX85" i="3"/>
  <c r="AY51" i="3"/>
  <c r="AX7" i="3"/>
  <c r="AX11" i="3" s="1"/>
  <c r="AW11" i="3"/>
  <c r="E8" i="1" s="1"/>
  <c r="AX95" i="3"/>
  <c r="AX9" i="3"/>
  <c r="AY61" i="3"/>
  <c r="AU23" i="3"/>
  <c r="AU29" i="3"/>
  <c r="AV29" i="3" l="1"/>
  <c r="AY94" i="3"/>
  <c r="AZ60" i="3"/>
  <c r="BA55" i="3"/>
  <c r="AZ89" i="3"/>
  <c r="AY98" i="3"/>
  <c r="AZ64" i="3"/>
  <c r="BA59" i="3"/>
  <c r="AZ93" i="3"/>
  <c r="BB65" i="3"/>
  <c r="BA99" i="3"/>
  <c r="BA54" i="3"/>
  <c r="AZ88" i="3"/>
  <c r="BA53" i="3"/>
  <c r="AZ87" i="3"/>
  <c r="BA57" i="3"/>
  <c r="AZ91" i="3"/>
  <c r="AW19" i="3"/>
  <c r="AW20" i="3" s="1"/>
  <c r="E6" i="1" s="1"/>
  <c r="AW13" i="3"/>
  <c r="E9" i="1" s="1"/>
  <c r="AW24" i="3"/>
  <c r="E5" i="1"/>
  <c r="AY85" i="3"/>
  <c r="AZ51" i="3"/>
  <c r="AY7" i="3"/>
  <c r="AY11" i="3" s="1"/>
  <c r="AX12" i="3"/>
  <c r="AY92" i="3"/>
  <c r="AZ58" i="3"/>
  <c r="AY97" i="3"/>
  <c r="AZ63" i="3"/>
  <c r="AZ62" i="3"/>
  <c r="AY96" i="3"/>
  <c r="AY90" i="3"/>
  <c r="AY8" i="3"/>
  <c r="AZ56" i="3"/>
  <c r="AY95" i="3"/>
  <c r="AZ61" i="3"/>
  <c r="AY9" i="3"/>
  <c r="AY86" i="3"/>
  <c r="AZ52" i="3"/>
  <c r="BA51" i="3" l="1"/>
  <c r="AZ7" i="3"/>
  <c r="AZ85" i="3"/>
  <c r="BC65" i="3"/>
  <c r="BB99" i="3"/>
  <c r="BA62" i="3"/>
  <c r="AZ96" i="3"/>
  <c r="BA88" i="3"/>
  <c r="BB54" i="3"/>
  <c r="BA56" i="3"/>
  <c r="AZ90" i="3"/>
  <c r="AZ8" i="3"/>
  <c r="AW28" i="3"/>
  <c r="AW29" i="3" s="1"/>
  <c r="E7" i="1"/>
  <c r="BA93" i="3"/>
  <c r="BB59" i="3"/>
  <c r="AW23" i="3"/>
  <c r="BA52" i="3"/>
  <c r="AZ86" i="3"/>
  <c r="BA91" i="3"/>
  <c r="BB57" i="3"/>
  <c r="AY12" i="3"/>
  <c r="BA89" i="3"/>
  <c r="BB55" i="3"/>
  <c r="BA61" i="3"/>
  <c r="AZ95" i="3"/>
  <c r="AZ9" i="3"/>
  <c r="BA63" i="3"/>
  <c r="AZ97" i="3"/>
  <c r="BA64" i="3"/>
  <c r="AZ98" i="3"/>
  <c r="BA58" i="3"/>
  <c r="AZ92" i="3"/>
  <c r="AX19" i="3"/>
  <c r="AX20" i="3" s="1"/>
  <c r="AX24" i="3" s="1"/>
  <c r="AX23" i="3"/>
  <c r="AX13" i="3"/>
  <c r="BA87" i="3"/>
  <c r="BB53" i="3"/>
  <c r="BA60" i="3"/>
  <c r="AZ94" i="3"/>
  <c r="BC55" i="3" l="1"/>
  <c r="BB89" i="3"/>
  <c r="BB91" i="3"/>
  <c r="BC57" i="3"/>
  <c r="BB62" i="3"/>
  <c r="BA96" i="3"/>
  <c r="BB88" i="3"/>
  <c r="BC54" i="3"/>
  <c r="BC99" i="3"/>
  <c r="BD65" i="3"/>
  <c r="BA90" i="3"/>
  <c r="BB56" i="3"/>
  <c r="BA8" i="3"/>
  <c r="BA86" i="3"/>
  <c r="BB52" i="3"/>
  <c r="BB93" i="3"/>
  <c r="BC59" i="3"/>
  <c r="AZ12" i="3"/>
  <c r="AY19" i="3"/>
  <c r="AY20" i="3" s="1"/>
  <c r="AY23" i="3"/>
  <c r="AY13" i="3"/>
  <c r="AY24" i="3"/>
  <c r="AY28" i="3" s="1"/>
  <c r="BA92" i="3"/>
  <c r="BB58" i="3"/>
  <c r="BA98" i="3"/>
  <c r="BB64" i="3"/>
  <c r="BB87" i="3"/>
  <c r="BC53" i="3"/>
  <c r="AZ11" i="3"/>
  <c r="AX28" i="3"/>
  <c r="AX29" i="3" s="1"/>
  <c r="BA94" i="3"/>
  <c r="BB60" i="3"/>
  <c r="BA97" i="3"/>
  <c r="BB63" i="3"/>
  <c r="BA95" i="3"/>
  <c r="BB61" i="3"/>
  <c r="BA9" i="3"/>
  <c r="E11" i="1"/>
  <c r="BA85" i="3"/>
  <c r="BB51" i="3"/>
  <c r="BA7" i="3"/>
  <c r="BA11" i="3" s="1"/>
  <c r="AY29" i="3" l="1"/>
  <c r="BE65" i="3"/>
  <c r="BD99" i="3"/>
  <c r="BC88" i="3"/>
  <c r="BD54" i="3"/>
  <c r="BB92" i="3"/>
  <c r="BC58" i="3"/>
  <c r="BA12" i="3"/>
  <c r="BC91" i="3"/>
  <c r="BD57" i="3"/>
  <c r="BB85" i="3"/>
  <c r="BC51" i="3"/>
  <c r="BB7" i="3"/>
  <c r="AZ19" i="3"/>
  <c r="AZ20" i="3" s="1"/>
  <c r="AZ24" i="3" s="1"/>
  <c r="AZ28" i="3" s="1"/>
  <c r="AZ23" i="3"/>
  <c r="AZ13" i="3"/>
  <c r="BC93" i="3"/>
  <c r="BD59" i="3"/>
  <c r="BB98" i="3"/>
  <c r="BC64" i="3"/>
  <c r="BC63" i="3"/>
  <c r="BB97" i="3"/>
  <c r="BC60" i="3"/>
  <c r="BB94" i="3"/>
  <c r="BC87" i="3"/>
  <c r="BD53" i="3"/>
  <c r="BB96" i="3"/>
  <c r="BC62" i="3"/>
  <c r="BC52" i="3"/>
  <c r="BB86" i="3"/>
  <c r="BB95" i="3"/>
  <c r="BC61" i="3"/>
  <c r="BB9" i="3"/>
  <c r="BB90" i="3"/>
  <c r="BB8" i="3"/>
  <c r="BC56" i="3"/>
  <c r="BC89" i="3"/>
  <c r="BD55" i="3"/>
  <c r="BB12" i="3" l="1"/>
  <c r="AZ29" i="3"/>
  <c r="BD91" i="3"/>
  <c r="BE57" i="3"/>
  <c r="BA13" i="3"/>
  <c r="BA19" i="3"/>
  <c r="BA20" i="3" s="1"/>
  <c r="BA24" i="3" s="1"/>
  <c r="BA23" i="3"/>
  <c r="BD63" i="3"/>
  <c r="BC97" i="3"/>
  <c r="BC98" i="3"/>
  <c r="BD64" i="3"/>
  <c r="BD88" i="3"/>
  <c r="BE54" i="3"/>
  <c r="BD61" i="3"/>
  <c r="BC95" i="3"/>
  <c r="BC9" i="3"/>
  <c r="BC96" i="3"/>
  <c r="BD62" i="3"/>
  <c r="BD89" i="3"/>
  <c r="BE55" i="3"/>
  <c r="BB19" i="3"/>
  <c r="BB20" i="3" s="1"/>
  <c r="BB24" i="3" s="1"/>
  <c r="BB28" i="3" s="1"/>
  <c r="BB13" i="3"/>
  <c r="BB23" i="3"/>
  <c r="BC92" i="3"/>
  <c r="BD58" i="3"/>
  <c r="BC86" i="3"/>
  <c r="BD52" i="3"/>
  <c r="BE53" i="3"/>
  <c r="BD87" i="3"/>
  <c r="BC90" i="3"/>
  <c r="BD56" i="3"/>
  <c r="BC8" i="3"/>
  <c r="BB11" i="3"/>
  <c r="BE99" i="3"/>
  <c r="BF65" i="3"/>
  <c r="BE59" i="3"/>
  <c r="BD93" i="3"/>
  <c r="BD60" i="3"/>
  <c r="BC94" i="3"/>
  <c r="BC85" i="3"/>
  <c r="BD51" i="3"/>
  <c r="BC7" i="3"/>
  <c r="BE89" i="3" l="1"/>
  <c r="BF55" i="3"/>
  <c r="BE56" i="3"/>
  <c r="BD8" i="3"/>
  <c r="BD90" i="3"/>
  <c r="BE87" i="3"/>
  <c r="BF53" i="3"/>
  <c r="BD85" i="3"/>
  <c r="BE51" i="3"/>
  <c r="BD7" i="3"/>
  <c r="BD11" i="3" s="1"/>
  <c r="BD86" i="3"/>
  <c r="BE52" i="3"/>
  <c r="BD98" i="3"/>
  <c r="BE64" i="3"/>
  <c r="BC12" i="3"/>
  <c r="BE60" i="3"/>
  <c r="BD94" i="3"/>
  <c r="BE91" i="3"/>
  <c r="BF57" i="3"/>
  <c r="BD97" i="3"/>
  <c r="BE63" i="3"/>
  <c r="BD92" i="3"/>
  <c r="BE58" i="3"/>
  <c r="BD95" i="3"/>
  <c r="BD9" i="3"/>
  <c r="BE61" i="3"/>
  <c r="BC11" i="3"/>
  <c r="BA28" i="3"/>
  <c r="BA29" i="3" s="1"/>
  <c r="BB29" i="3" s="1"/>
  <c r="BD96" i="3"/>
  <c r="BE62" i="3"/>
  <c r="BE93" i="3"/>
  <c r="BF59" i="3"/>
  <c r="BF99" i="3"/>
  <c r="BG65" i="3"/>
  <c r="BE88" i="3"/>
  <c r="BF54" i="3"/>
  <c r="BF87" i="3" l="1"/>
  <c r="BG53" i="3"/>
  <c r="BF58" i="3"/>
  <c r="BE92" i="3"/>
  <c r="BD12" i="3"/>
  <c r="BE85" i="3"/>
  <c r="BF51" i="3"/>
  <c r="BE7" i="3"/>
  <c r="BF91" i="3"/>
  <c r="BG57" i="3"/>
  <c r="BF89" i="3"/>
  <c r="BG55" i="3"/>
  <c r="BG99" i="3"/>
  <c r="BH65" i="3"/>
  <c r="BF93" i="3"/>
  <c r="BG59" i="3"/>
  <c r="BE94" i="3"/>
  <c r="BF60" i="3"/>
  <c r="BC13" i="3"/>
  <c r="BC19" i="3"/>
  <c r="BC20" i="3" s="1"/>
  <c r="BC24" i="3" s="1"/>
  <c r="BE90" i="3"/>
  <c r="BE8" i="3"/>
  <c r="BF56" i="3"/>
  <c r="BE95" i="3"/>
  <c r="BF61" i="3"/>
  <c r="BE9" i="3"/>
  <c r="BE98" i="3"/>
  <c r="BF64" i="3"/>
  <c r="BF88" i="3"/>
  <c r="BG54" i="3"/>
  <c r="BE97" i="3"/>
  <c r="BF63" i="3"/>
  <c r="BE96" i="3"/>
  <c r="BF62" i="3"/>
  <c r="BE86" i="3"/>
  <c r="BF52" i="3"/>
  <c r="BE11" i="3" l="1"/>
  <c r="BC28" i="3"/>
  <c r="BC29" i="3" s="1"/>
  <c r="BG63" i="3"/>
  <c r="BF97" i="3"/>
  <c r="BF94" i="3"/>
  <c r="BG60" i="3"/>
  <c r="BE12" i="3"/>
  <c r="BG51" i="3"/>
  <c r="BF85" i="3"/>
  <c r="BF7" i="3"/>
  <c r="BF11" i="3" s="1"/>
  <c r="BF95" i="3"/>
  <c r="BG61" i="3"/>
  <c r="BF9" i="3"/>
  <c r="BG93" i="3"/>
  <c r="BH59" i="3"/>
  <c r="BD13" i="3"/>
  <c r="BD19" i="3"/>
  <c r="BD20" i="3" s="1"/>
  <c r="BD24" i="3" s="1"/>
  <c r="BF86" i="3"/>
  <c r="BG52" i="3"/>
  <c r="BG91" i="3"/>
  <c r="BH57" i="3"/>
  <c r="BF98" i="3"/>
  <c r="BG64" i="3"/>
  <c r="BF90" i="3"/>
  <c r="BF8" i="3"/>
  <c r="BG56" i="3"/>
  <c r="BH99" i="3"/>
  <c r="BI65" i="3"/>
  <c r="BI99" i="3" s="1"/>
  <c r="BF92" i="3"/>
  <c r="BG58" i="3"/>
  <c r="BG88" i="3"/>
  <c r="BH54" i="3"/>
  <c r="BC23" i="3"/>
  <c r="BF96" i="3"/>
  <c r="BG62" i="3"/>
  <c r="BG87" i="3"/>
  <c r="BH53" i="3"/>
  <c r="BG89" i="3"/>
  <c r="BH55" i="3"/>
  <c r="BD28" i="3" l="1"/>
  <c r="BF12" i="3"/>
  <c r="BD23" i="3"/>
  <c r="BG7" i="3"/>
  <c r="BG85" i="3"/>
  <c r="BH51" i="3"/>
  <c r="BE13" i="3"/>
  <c r="BE19" i="3"/>
  <c r="BE20" i="3" s="1"/>
  <c r="BE24" i="3" s="1"/>
  <c r="BE28" i="3" s="1"/>
  <c r="BG94" i="3"/>
  <c r="BH60" i="3"/>
  <c r="BI55" i="3"/>
  <c r="BI89" i="3" s="1"/>
  <c r="BH89" i="3"/>
  <c r="BG9" i="3"/>
  <c r="BG95" i="3"/>
  <c r="BH61" i="3"/>
  <c r="BH88" i="3"/>
  <c r="BI54" i="3"/>
  <c r="BI88" i="3" s="1"/>
  <c r="BH56" i="3"/>
  <c r="BG8" i="3"/>
  <c r="BG90" i="3"/>
  <c r="BH93" i="3"/>
  <c r="BI59" i="3"/>
  <c r="BI93" i="3" s="1"/>
  <c r="BG86" i="3"/>
  <c r="BH52" i="3"/>
  <c r="BH91" i="3"/>
  <c r="BI57" i="3"/>
  <c r="BI91" i="3" s="1"/>
  <c r="BG92" i="3"/>
  <c r="BH58" i="3"/>
  <c r="BH87" i="3"/>
  <c r="BI53" i="3"/>
  <c r="BI87" i="3" s="1"/>
  <c r="BG97" i="3"/>
  <c r="BH63" i="3"/>
  <c r="BG96" i="3"/>
  <c r="BH62" i="3"/>
  <c r="BG98" i="3"/>
  <c r="BH64" i="3"/>
  <c r="BD29" i="3"/>
  <c r="BH85" i="3" l="1"/>
  <c r="BI51" i="3"/>
  <c r="BH7" i="3"/>
  <c r="BH90" i="3"/>
  <c r="BH8" i="3"/>
  <c r="BI56" i="3"/>
  <c r="BG12" i="3"/>
  <c r="BH97" i="3"/>
  <c r="BI63" i="3"/>
  <c r="BI97" i="3" s="1"/>
  <c r="BI61" i="3"/>
  <c r="BH95" i="3"/>
  <c r="BH9" i="3"/>
  <c r="BG11" i="3"/>
  <c r="BE29" i="3"/>
  <c r="BH98" i="3"/>
  <c r="BI64" i="3"/>
  <c r="BI98" i="3" s="1"/>
  <c r="BH86" i="3"/>
  <c r="BI52" i="3"/>
  <c r="BI86" i="3" s="1"/>
  <c r="BF19" i="3"/>
  <c r="BF20" i="3" s="1"/>
  <c r="BF24" i="3" s="1"/>
  <c r="BF28" i="3" s="1"/>
  <c r="BF13" i="3"/>
  <c r="BF23" i="3"/>
  <c r="BE23" i="3"/>
  <c r="BH92" i="3"/>
  <c r="BI58" i="3"/>
  <c r="BI92" i="3" s="1"/>
  <c r="BH96" i="3"/>
  <c r="BI62" i="3"/>
  <c r="BI96" i="3" s="1"/>
  <c r="BH94" i="3"/>
  <c r="BI60" i="3"/>
  <c r="BI94" i="3" s="1"/>
  <c r="BI90" i="3" l="1"/>
  <c r="BI8" i="3"/>
  <c r="BH11" i="3"/>
  <c r="BG19" i="3"/>
  <c r="BG20" i="3" s="1"/>
  <c r="BG24" i="3" s="1"/>
  <c r="BG28" i="3" s="1"/>
  <c r="BG13" i="3"/>
  <c r="BF29" i="3"/>
  <c r="BI85" i="3"/>
  <c r="BI7" i="3"/>
  <c r="BI95" i="3"/>
  <c r="BI9" i="3"/>
  <c r="BH12" i="3"/>
  <c r="BI11" i="3" l="1"/>
  <c r="F8" i="1" s="1"/>
  <c r="BG29" i="3"/>
  <c r="BG23" i="3"/>
  <c r="BI12" i="3"/>
  <c r="BH13" i="3"/>
  <c r="BH19" i="3"/>
  <c r="BH20" i="3" s="1"/>
  <c r="BH24" i="3" s="1"/>
  <c r="BH28" i="3" s="1"/>
  <c r="BH23" i="3" l="1"/>
  <c r="BI19" i="3"/>
  <c r="BI20" i="3" s="1"/>
  <c r="F6" i="1" s="1"/>
  <c r="BI13" i="3"/>
  <c r="F9" i="1" s="1"/>
  <c r="F5" i="1"/>
  <c r="BH29" i="3"/>
  <c r="BI24" i="3" l="1"/>
  <c r="C14" i="5"/>
  <c r="E14" i="5" s="1"/>
  <c r="F14" i="5" s="1"/>
  <c r="C13" i="5"/>
  <c r="E13" i="5" s="1"/>
  <c r="C12" i="5"/>
  <c r="E12" i="5" s="1"/>
  <c r="F12" i="5" s="1"/>
  <c r="BI23" i="3"/>
  <c r="F13" i="5" l="1"/>
  <c r="BI28" i="3"/>
  <c r="BI29" i="3" s="1"/>
  <c r="F11" i="1" s="1"/>
  <c r="F7" i="1"/>
</calcChain>
</file>

<file path=xl/sharedStrings.xml><?xml version="1.0" encoding="utf-8"?>
<sst xmlns="http://schemas.openxmlformats.org/spreadsheetml/2006/main" count="430" uniqueCount="335">
  <si>
    <t>כל ההנחות שמזינות את המודל. כל שינוי כאן מתעדכן אוטומטית בכל שאר הגיליונות.</t>
  </si>
  <si>
    <t>סגמנטי לקוחות</t>
  </si>
  <si>
    <t>פרמטר</t>
  </si>
  <si>
    <t>הסעות קטנות</t>
  </si>
  <si>
    <t>הסעות בינוניות</t>
  </si>
  <si>
    <t>תח״צ ציבורית</t>
  </si>
  <si>
    <t>% מסך לקוחות</t>
  </si>
  <si>
    <t>ARPU כניסה (₪/חודש)</t>
  </si>
  <si>
    <t>ARPU בשלות (₪/חודש)</t>
  </si>
  <si>
    <t>זמן הבשלה (חודשים)</t>
  </si>
  <si>
    <t>Churn חודשי</t>
  </si>
  <si>
    <t>לקוח קיים (Beta)</t>
  </si>
  <si>
    <t>לקוח Beta — מספר</t>
  </si>
  <si>
    <t>ARR לקוח Beta (₪/שנה)</t>
  </si>
  <si>
    <t>MRR לקוח Beta (₪/חודש)</t>
  </si>
  <si>
    <t>חודש התחלת לקוחות חדשים</t>
  </si>
  <si>
    <t>גיוס לקוחות</t>
  </si>
  <si>
    <t>שנה</t>
  </si>
  <si>
    <t>שנה 1</t>
  </si>
  <si>
    <t>שנה 2</t>
  </si>
  <si>
    <t>שנה 3</t>
  </si>
  <si>
    <t>שנה 4</t>
  </si>
  <si>
    <t>שנה 5</t>
  </si>
  <si>
    <t>כוח אדם ושכר (₪ עלות מעסיק / חודש)</t>
  </si>
  <si>
    <t>תפקיד</t>
  </si>
  <si>
    <t>מתחיל בחודש</t>
  </si>
  <si>
    <t>מייסד / מנכ״ל</t>
  </si>
  <si>
    <t>Full Stack #1</t>
  </si>
  <si>
    <t>DevOps</t>
  </si>
  <si>
    <t>Full Stack #2</t>
  </si>
  <si>
    <t>Customer Success #1</t>
  </si>
  <si>
    <t>מנהל מוצר</t>
  </si>
  <si>
    <t>QA Engineer</t>
  </si>
  <si>
    <t>HD #1</t>
  </si>
  <si>
    <t>Customer Success #2</t>
  </si>
  <si>
    <t>CFO</t>
  </si>
  <si>
    <t>HD #2</t>
  </si>
  <si>
    <t>Customer Success #3</t>
  </si>
  <si>
    <t>הוצאות תפעוליות (₪/חודש)</t>
  </si>
  <si>
    <t>סוג</t>
  </si>
  <si>
    <t>עלות (₪/חודש)</t>
  </si>
  <si>
    <t>עליה שנתית</t>
  </si>
  <si>
    <t>משרד</t>
  </si>
  <si>
    <t>תשתית ענן</t>
  </si>
  <si>
    <t>כלי SaaS לפיתוח</t>
  </si>
  <si>
    <t>שיווק דיגיטלי</t>
  </si>
  <si>
    <t>מיתוג ויח״צ</t>
  </si>
  <si>
    <t>ייעוץ משפטי</t>
  </si>
  <si>
    <t>הנהלת חשבונות</t>
  </si>
  <si>
    <t>ביטוחים</t>
  </si>
  <si>
    <t>שירותי UX/UI</t>
  </si>
  <si>
    <t>ייעוץ עסקי</t>
  </si>
  <si>
    <t>אבטחת מידע</t>
  </si>
  <si>
    <t>ציוד מחשוב</t>
  </si>
  <si>
    <t>בלת"מ</t>
  </si>
  <si>
    <t>אחוז עליה שנתי בשכר</t>
  </si>
  <si>
    <t>עליה שנתית בשכר</t>
  </si>
  <si>
    <t>מבנה גיוס</t>
  </si>
  <si>
    <t>סכום הסבב (₪)</t>
  </si>
  <si>
    <t>Pre-Money (₪)</t>
  </si>
  <si>
    <t>Post-Money (₪)</t>
  </si>
  <si>
    <t>מבנה דו-שלבי — שלב 1 (SAFE)</t>
  </si>
  <si>
    <t>סכום שלב 1 SAFE (₪)</t>
  </si>
  <si>
    <t>SAFE Cap (₪)</t>
  </si>
  <si>
    <t>SAFE Discount</t>
  </si>
  <si>
    <t>סכום שלב 2 Equity (₪)</t>
  </si>
  <si>
    <t>דילול משקיעים</t>
  </si>
  <si>
    <t>דילול ESOP</t>
  </si>
  <si>
    <t>שיעור מס חברות</t>
  </si>
  <si>
    <t>Gross Margin</t>
  </si>
  <si>
    <t>מטריקה</t>
  </si>
  <si>
    <t>הכנסות שנתיות (₪)</t>
  </si>
  <si>
    <t>הוצאות שנתיות (₪)</t>
  </si>
  <si>
    <t>רווח/הפסד תפעולי (₪)</t>
  </si>
  <si>
    <t>לקוחות פעילים (סוף שנה)</t>
  </si>
  <si>
    <t>ARR (סוף שנה) (₪)</t>
  </si>
  <si>
    <t>עובדים (סוף שנה)</t>
  </si>
  <si>
    <t>יתרת מזומן (סוף שנה) (₪)</t>
  </si>
  <si>
    <t>Y1</t>
  </si>
  <si>
    <t>Y2</t>
  </si>
  <si>
    <t>Y3</t>
  </si>
  <si>
    <t>Y4</t>
  </si>
  <si>
    <t>Y5</t>
  </si>
  <si>
    <t>חודש</t>
  </si>
  <si>
    <t>תאריך</t>
  </si>
  <si>
    <t>07.26</t>
  </si>
  <si>
    <t>08.26</t>
  </si>
  <si>
    <t>09.26</t>
  </si>
  <si>
    <t>10.26</t>
  </si>
  <si>
    <t>11.26</t>
  </si>
  <si>
    <t>12.26</t>
  </si>
  <si>
    <t>01.27</t>
  </si>
  <si>
    <t>02.27</t>
  </si>
  <si>
    <t>03.27</t>
  </si>
  <si>
    <t>04.27</t>
  </si>
  <si>
    <t>05.27</t>
  </si>
  <si>
    <t>06.27</t>
  </si>
  <si>
    <t>07.27</t>
  </si>
  <si>
    <t>08.27</t>
  </si>
  <si>
    <t>09.27</t>
  </si>
  <si>
    <t>10.27</t>
  </si>
  <si>
    <t>11.27</t>
  </si>
  <si>
    <t>12.27</t>
  </si>
  <si>
    <t>01.28</t>
  </si>
  <si>
    <t>02.28</t>
  </si>
  <si>
    <t>03.28</t>
  </si>
  <si>
    <t>04.28</t>
  </si>
  <si>
    <t>05.28</t>
  </si>
  <si>
    <t>06.28</t>
  </si>
  <si>
    <t>07.28</t>
  </si>
  <si>
    <t>08.28</t>
  </si>
  <si>
    <t>09.28</t>
  </si>
  <si>
    <t>10.28</t>
  </si>
  <si>
    <t>11.28</t>
  </si>
  <si>
    <t>12.28</t>
  </si>
  <si>
    <t>01.29</t>
  </si>
  <si>
    <t>02.29</t>
  </si>
  <si>
    <t>03.29</t>
  </si>
  <si>
    <t>04.29</t>
  </si>
  <si>
    <t>05.29</t>
  </si>
  <si>
    <t>06.29</t>
  </si>
  <si>
    <t>07.29</t>
  </si>
  <si>
    <t>08.29</t>
  </si>
  <si>
    <t>09.29</t>
  </si>
  <si>
    <t>10.29</t>
  </si>
  <si>
    <t>11.29</t>
  </si>
  <si>
    <t>12.29</t>
  </si>
  <si>
    <t>01.30</t>
  </si>
  <si>
    <t>02.30</t>
  </si>
  <si>
    <t>03.30</t>
  </si>
  <si>
    <t>04.30</t>
  </si>
  <si>
    <t>05.30</t>
  </si>
  <si>
    <t>06.30</t>
  </si>
  <si>
    <t>07.30</t>
  </si>
  <si>
    <t>08.30</t>
  </si>
  <si>
    <t>09.30</t>
  </si>
  <si>
    <t>10.30</t>
  </si>
  <si>
    <t>11.30</t>
  </si>
  <si>
    <t>12.30</t>
  </si>
  <si>
    <t>01.31</t>
  </si>
  <si>
    <t>02.31</t>
  </si>
  <si>
    <t>03.31</t>
  </si>
  <si>
    <t>04.31</t>
  </si>
  <si>
    <t>05.31</t>
  </si>
  <si>
    <t>06.31</t>
  </si>
  <si>
    <t>סיכום הכנסות וצמיחה</t>
  </si>
  <si>
    <t>לקוחות פעילים הסעות קטנות</t>
  </si>
  <si>
    <t>לקוחות פעילים הסעות בינוניות</t>
  </si>
  <si>
    <t>לקוחות פעילים תח״צ</t>
  </si>
  <si>
    <t>לקוח Beta (קיים)</t>
  </si>
  <si>
    <t>סה״כ לקוחות פעילים</t>
  </si>
  <si>
    <t>MRR (סה״כ הכנסות חודשיות)</t>
  </si>
  <si>
    <t>ARR (שנתי)</t>
  </si>
  <si>
    <t>סיכום הוצאות</t>
  </si>
  <si>
    <t>סה״כ עובדים</t>
  </si>
  <si>
    <t>סה״כ שכר חודשי</t>
  </si>
  <si>
    <t>סה״כ הוצאות תפעוליות (OPEX)</t>
  </si>
  <si>
    <t>COGS (תשתית ותמיכה)</t>
  </si>
  <si>
    <t>סה״כ הוצאות חודשיות</t>
  </si>
  <si>
    <t>רווח והפסד</t>
  </si>
  <si>
    <t>Gross Profit חודשי (הכנסות פחות COGS)</t>
  </si>
  <si>
    <t>רווח/הפסד תפעולי חודשי</t>
  </si>
  <si>
    <t>תזרים מזומנים</t>
  </si>
  <si>
    <t>השקעת Seed</t>
  </si>
  <si>
    <t>תזרים נטו חודשי</t>
  </si>
  <si>
    <t>יתרת מזומן</t>
  </si>
  <si>
    <t>━━━ פירוט: מחזורים לקוחות ━━━</t>
  </si>
  <si>
    <t>פירוט — לקוחות חדשים מצטרפים (לפי שנת הצטרפות)</t>
  </si>
  <si>
    <t xml:space="preserve">  הסעות קטנות — מחזור Y1</t>
  </si>
  <si>
    <t xml:space="preserve">  הסעות קטנות — מחזור Y2</t>
  </si>
  <si>
    <t xml:space="preserve">  הסעות קטנות — מחזור Y3</t>
  </si>
  <si>
    <t xml:space="preserve">  הסעות קטנות — מחזור Y4</t>
  </si>
  <si>
    <t xml:space="preserve">  הסעות קטנות — מחזור Y5</t>
  </si>
  <si>
    <t xml:space="preserve">  הסעות בינוניות — מחזור Y1</t>
  </si>
  <si>
    <t xml:space="preserve">  הסעות בינוניות — מחזור Y2</t>
  </si>
  <si>
    <t xml:space="preserve">  הסעות בינוניות — מחזור Y3</t>
  </si>
  <si>
    <t xml:space="preserve">  הסעות בינוניות — מחזור Y4</t>
  </si>
  <si>
    <t xml:space="preserve">  הסעות בינוניות — מחזור Y5</t>
  </si>
  <si>
    <t xml:space="preserve">  תח״צ — מחזור Y1</t>
  </si>
  <si>
    <t xml:space="preserve">  תח״צ — מחזור Y2</t>
  </si>
  <si>
    <t xml:space="preserve">  תח״צ — מחזור Y3</t>
  </si>
  <si>
    <t xml:space="preserve">  תח״צ — מחזור Y4</t>
  </si>
  <si>
    <t xml:space="preserve">  תח״צ — מחזור Y5</t>
  </si>
  <si>
    <t>פירוט — לקוחות פעילים לפי מחזור (אחרי Churn)</t>
  </si>
  <si>
    <t xml:space="preserve">  הסעות קטנות — Y1 פעילים</t>
  </si>
  <si>
    <t xml:space="preserve">  הסעות קטנות — Y2 פעילים</t>
  </si>
  <si>
    <t xml:space="preserve">  הסעות קטנות — Y3 פעילים</t>
  </si>
  <si>
    <t xml:space="preserve">  הסעות קטנות — Y4 פעילים</t>
  </si>
  <si>
    <t xml:space="preserve">  הסעות קטנות — Y5 פעילים</t>
  </si>
  <si>
    <t xml:space="preserve">  הסעות בינוניות — Y1 פעילים</t>
  </si>
  <si>
    <t xml:space="preserve">  הסעות בינוניות — Y2 פעילים</t>
  </si>
  <si>
    <t xml:space="preserve">  הסעות בינוניות — Y3 פעילים</t>
  </si>
  <si>
    <t xml:space="preserve">  הסעות בינוניות — Y4 פעילים</t>
  </si>
  <si>
    <t xml:space="preserve">  הסעות בינוניות — Y5 פעילים</t>
  </si>
  <si>
    <t xml:space="preserve">  תח״צ — Y1 פעילים</t>
  </si>
  <si>
    <t xml:space="preserve">  תח״צ — Y2 פעילים</t>
  </si>
  <si>
    <t xml:space="preserve">  תח״צ — Y3 פעילים</t>
  </si>
  <si>
    <t xml:space="preserve">  תח״צ — Y4 פעילים</t>
  </si>
  <si>
    <t xml:space="preserve">  תח״צ — Y5 פעילים</t>
  </si>
  <si>
    <t>פירוט — ARPU למחזור (לפי גיל הלקוחות)</t>
  </si>
  <si>
    <t xml:space="preserve">  ARPU הסעות קטנות — Y1</t>
  </si>
  <si>
    <t xml:space="preserve">  ARPU הסעות קטנות — Y2</t>
  </si>
  <si>
    <t xml:space="preserve">  ARPU הסעות קטנות — Y3</t>
  </si>
  <si>
    <t xml:space="preserve">  ARPU הסעות קטנות — Y4</t>
  </si>
  <si>
    <t xml:space="preserve">  ARPU הסעות קטנות — Y5</t>
  </si>
  <si>
    <t xml:space="preserve">  ARPU הסעות בינוניות — Y1</t>
  </si>
  <si>
    <t xml:space="preserve">  ARPU הסעות בינוניות — Y2</t>
  </si>
  <si>
    <t xml:space="preserve">  ARPU הסעות בינוניות — Y3</t>
  </si>
  <si>
    <t xml:space="preserve">  ARPU הסעות בינוניות — Y4</t>
  </si>
  <si>
    <t xml:space="preserve">  ARPU הסעות בינוניות — Y5</t>
  </si>
  <si>
    <t xml:space="preserve">  ARPU תח״צ — Y1</t>
  </si>
  <si>
    <t xml:space="preserve">  ARPU תח״צ — Y2</t>
  </si>
  <si>
    <t xml:space="preserve">  ARPU תח״צ — Y3</t>
  </si>
  <si>
    <t xml:space="preserve">  ARPU תח״צ — Y4</t>
  </si>
  <si>
    <t xml:space="preserve">  ARPU תח״צ — Y5</t>
  </si>
  <si>
    <t>פירוט — הכנסות למחזור</t>
  </si>
  <si>
    <t xml:space="preserve">  הכנסות הסעות קטנות — Y1</t>
  </si>
  <si>
    <t xml:space="preserve">  הכנסות הסעות קטנות — Y2</t>
  </si>
  <si>
    <t xml:space="preserve">  הכנסות הסעות קטנות — Y3</t>
  </si>
  <si>
    <t xml:space="preserve">  הכנסות הסעות קטנות — Y4</t>
  </si>
  <si>
    <t xml:space="preserve">  הכנסות הסעות קטנות — Y5</t>
  </si>
  <si>
    <t xml:space="preserve">  הכנסות הסעות בינוניות — Y1</t>
  </si>
  <si>
    <t xml:space="preserve">  הכנסות הסעות בינוניות — Y2</t>
  </si>
  <si>
    <t xml:space="preserve">  הכנסות הסעות בינוניות — Y3</t>
  </si>
  <si>
    <t xml:space="preserve">  הכנסות הסעות בינוניות — Y4</t>
  </si>
  <si>
    <t xml:space="preserve">  הכנסות הסעות בינוניות — Y5</t>
  </si>
  <si>
    <t xml:space="preserve">  הכנסות תח״צ — Y1</t>
  </si>
  <si>
    <t xml:space="preserve">  הכנסות תח״צ — Y2</t>
  </si>
  <si>
    <t xml:space="preserve">  הכנסות תח״צ — Y3</t>
  </si>
  <si>
    <t xml:space="preserve">  הכנסות תח״צ — Y4</t>
  </si>
  <si>
    <t xml:space="preserve">  הכנסות תח״צ — Y5</t>
  </si>
  <si>
    <t xml:space="preserve">  הכנסות Beta</t>
  </si>
  <si>
    <t>━━━ פירוט: כוח אדם, שכר והוצאות ━━━</t>
  </si>
  <si>
    <t>פירוט — כוח אדם פעיל</t>
  </si>
  <si>
    <t xml:space="preserve">  מייסד / מנכ״ל</t>
  </si>
  <si>
    <t xml:space="preserve">  Full Stack #1</t>
  </si>
  <si>
    <t xml:space="preserve">  DevOps</t>
  </si>
  <si>
    <t xml:space="preserve">  Full Stack #2</t>
  </si>
  <si>
    <t xml:space="preserve">  Customer Success #1</t>
  </si>
  <si>
    <t xml:space="preserve">  מנהל מוצר</t>
  </si>
  <si>
    <t xml:space="preserve">  QA Engineer</t>
  </si>
  <si>
    <t xml:space="preserve">  HD #2</t>
  </si>
  <si>
    <t xml:space="preserve">  Customer Success #2</t>
  </si>
  <si>
    <t xml:space="preserve">  CFO</t>
  </si>
  <si>
    <t xml:space="preserve">  HD #1</t>
  </si>
  <si>
    <t xml:space="preserve">  Customer Success #3</t>
  </si>
  <si>
    <t>פירוט — שכר חודשי לכל תפקיד (₪) — עם עליה שנתית 3%</t>
  </si>
  <si>
    <t xml:space="preserve">  שכר מייסד / מנכ״ל</t>
  </si>
  <si>
    <t xml:space="preserve">  שכר Full Stack #1</t>
  </si>
  <si>
    <t xml:space="preserve">  שכר DevOps</t>
  </si>
  <si>
    <t xml:space="preserve">  שכר Full Stack #2</t>
  </si>
  <si>
    <t xml:space="preserve">  שכר Customer Success #1</t>
  </si>
  <si>
    <t xml:space="preserve">  שכר מנהל מוצר</t>
  </si>
  <si>
    <t xml:space="preserve">  שכר QA Engineer</t>
  </si>
  <si>
    <t xml:space="preserve">  שכר HD #2</t>
  </si>
  <si>
    <t xml:space="preserve">  שכר Customer Success #2</t>
  </si>
  <si>
    <t xml:space="preserve">  שכר CFO</t>
  </si>
  <si>
    <t xml:space="preserve">  שכר HD #1</t>
  </si>
  <si>
    <t xml:space="preserve">  שכר Customer Success #3</t>
  </si>
  <si>
    <t>פירוט — הוצאות תפעוליות (OPEX) — עם עליה שנתית לפי סעיף</t>
  </si>
  <si>
    <t xml:space="preserve">  משרד</t>
  </si>
  <si>
    <t xml:space="preserve">  תשתית ענן</t>
  </si>
  <si>
    <t xml:space="preserve">  כלי SaaS לפיתוח</t>
  </si>
  <si>
    <t xml:space="preserve">  שיווק דיגיטלי</t>
  </si>
  <si>
    <t xml:space="preserve">  מיתוג ויח״צ</t>
  </si>
  <si>
    <t xml:space="preserve">  ייעוץ משפטי</t>
  </si>
  <si>
    <t xml:space="preserve">  הנהלת חשבונות</t>
  </si>
  <si>
    <t xml:space="preserve">  ביטוחים</t>
  </si>
  <si>
    <t xml:space="preserve">  שירותי UX/UI</t>
  </si>
  <si>
    <t xml:space="preserve">  ייעוץ עסקי</t>
  </si>
  <si>
    <t xml:space="preserve">  אבטחת מידע</t>
  </si>
  <si>
    <t xml:space="preserve">  ציוד מחשוב</t>
  </si>
  <si>
    <t xml:space="preserve">  בלתי מתוכנן (בלתמ)</t>
  </si>
  <si>
    <t>מבנה דו-שלבי: SAFE ₪1.5M @ Cap ₪15M + Equity ₪3.5M @ Pre-Money ₪20M</t>
  </si>
  <si>
    <t>חישוב המרה</t>
  </si>
  <si>
    <t>מחיר המרה SAFE</t>
  </si>
  <si>
    <t>נוסחה: MIN(Cap, Pre × (1-Discount))</t>
  </si>
  <si>
    <t>% מ-SAFE לפני שלב 2</t>
  </si>
  <si>
    <t>נוסחה: SAFE_amount / Conversion_price</t>
  </si>
  <si>
    <t>Post-Money שלב 2</t>
  </si>
  <si>
    <t>נוסחה: Pre + Stage 2 amount</t>
  </si>
  <si>
    <t>חלוקת הון אחרי שלב 2</t>
  </si>
  <si>
    <t>בעל מניות</t>
  </si>
  <si>
    <t>אחוז</t>
  </si>
  <si>
    <t>שווי החזקה (₪)</t>
  </si>
  <si>
    <t>הערות</t>
  </si>
  <si>
    <t>משקיעי שלב 2 (Equity)</t>
  </si>
  <si>
    <t>₪3.5M @ Pre ₪20M</t>
  </si>
  <si>
    <t>משקיעי שלב 1 (SAFE)</t>
  </si>
  <si>
    <t>₪1.5M @ Cap ₪15M, Discount 20%</t>
  </si>
  <si>
    <t>ESOP</t>
  </si>
  <si>
    <t>תוכנית אופציות לעובדים</t>
  </si>
  <si>
    <t>מייסד</t>
  </si>
  <si>
    <t>סה״כ</t>
  </si>
  <si>
    <t>Series A — מבנה הסבב לפי תרחישי שווי</t>
  </si>
  <si>
    <t>הנחה: ב-Series A, משקיעים חדשים יקבלו 20% מהחברה תמורת השקעתם. כל בעלי המניות הקיימים מתדללים באותו אחוז.</t>
  </si>
  <si>
    <t>תרחיש</t>
  </si>
  <si>
    <t>מכפיל ARR</t>
  </si>
  <si>
    <t>Pre-Money A (₪)</t>
  </si>
  <si>
    <t>הון שייכנס (₪)</t>
  </si>
  <si>
    <t>Post-Money A (₪)</t>
  </si>
  <si>
    <t>דילול</t>
  </si>
  <si>
    <t>שמרני</t>
  </si>
  <si>
    <t>6x</t>
  </si>
  <si>
    <t>בסיס</t>
  </si>
  <si>
    <t>8x</t>
  </si>
  <si>
    <t>אופטימי</t>
  </si>
  <si>
    <t>12x</t>
  </si>
  <si>
    <t>Cap Table אחרי Series A — תרחיש בסיס (8x)</t>
  </si>
  <si>
    <t>% לפני A</t>
  </si>
  <si>
    <t>% אחרי A</t>
  </si>
  <si>
    <t>₪1.5M @ Cap ₪15M</t>
  </si>
  <si>
    <t>משקיעי Series A (חדשים)</t>
  </si>
  <si>
    <t>משקיעי הסבב הבא</t>
  </si>
  <si>
    <t>סיכום: כל משקיעי Seed (Stage 1 + Stage 2)</t>
  </si>
  <si>
    <t>סה״כ אחוז Seed (לפני A)</t>
  </si>
  <si>
    <t>סה״כ אחוז Seed (אחרי A)</t>
  </si>
  <si>
    <t>סה״כ שווי החזקת Seed (Y3 בסיס)</t>
  </si>
  <si>
    <t>סה״כ השקעת Seed</t>
  </si>
  <si>
    <t>מכפיל ROI ב-Y3 (בסיס)</t>
  </si>
  <si>
    <t>משקיעי Seed (Stage 1 + Stage 2) מחזיקים 23.4% מהחברה. אחרי דילול ב-Series A הם מחזיקים 18.7%.</t>
  </si>
  <si>
    <t>תרחיש Series A — סוף שנה 3</t>
  </si>
  <si>
    <t>שווי החברה (₪)</t>
  </si>
  <si>
    <t>אחוז Seed (לאחר דילול)</t>
  </si>
  <si>
    <t>שווי החזקת Seed (₪)</t>
  </si>
  <si>
    <t>מכפיל ROI</t>
  </si>
  <si>
    <t>תרחיש Exit — סוף שנה 5</t>
  </si>
  <si>
    <t>עלות מעסיק (₪)</t>
  </si>
  <si>
    <t>שכר מנכ"ל ייבחן מחדש בתום שנה 1, בכפוף ליישום אבני דרך עסקיות</t>
  </si>
  <si>
    <t>Routix - סיכום פיננסי</t>
  </si>
  <si>
    <t>Routix - הנחות מודל פיננסי</t>
  </si>
  <si>
    <t>Routix - תוכנית תפעולית 5 שנים (60 חודשים)</t>
  </si>
  <si>
    <t>תחזית 5 שנים | יולי 2026 - יוני 2031</t>
  </si>
  <si>
    <t>Routix - Cap Table</t>
  </si>
  <si>
    <t>Routix - תרחישי החזר למשקיעים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</si>
</sst>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&quot;x&quot;"/>
  </numFmts>
  <fonts count="14" x14ac:knownFonts="1">
    <font>
      <sz val="11"/>
      <color theme="1"/>
      <name val="Calibri"/>
      <family val="2"/>
      <scheme val="minor"/>
    </font>
    <font>
      <sz val="9"/>
      <color rgb="FF6B7280"/>
      <name val="Arial"/>
    </font>
    <font>
      <b/>
      <sz val="10"/>
      <name val="Arial"/>
    </font>
    <font>
      <sz val="10"/>
      <name val="Arial"/>
    </font>
    <font>
      <b/>
      <sz val="18"/>
      <color rgb="FF1E3A8A"/>
      <name val="Arial"/>
    </font>
    <font>
      <b/>
      <sz val="12"/>
      <color rgb="FFFFFFFF"/>
      <name val="Arial"/>
    </font>
    <font>
      <b/>
      <sz val="11"/>
      <name val="Arial"/>
    </font>
    <font>
      <b/>
      <sz val="11"/>
      <color rgb="FFFFFFFF"/>
      <name val="Arial"/>
    </font>
    <font>
      <b/>
      <sz val="16"/>
      <color rgb="FF1E3A8A"/>
      <name val="Arial"/>
    </font>
    <font>
      <sz val="9"/>
      <color rgb="FF6B7280"/>
      <name val="Arial"/>
    </font>
    <font>
      <i/>
      <sz val="9"/>
      <color rgb="FF6B7280"/>
      <name val="Arial"/>
    </font>
    <font>
      <i/>
      <sz val="10"/>
      <color rgb="FF6B7280"/>
      <name val="Arial"/>
    </font>
    <font>
      <b/>
      <sz val="11"/>
      <color rgb="FFFFFFFF"/>
      <name val="Arial"/>
    </font>
    <font>
      <i/>
      <sz val="9"/>
      <color rgb="FF6B7280"/>
      <name val="Arial"/>
    </font>
  </fonts>
  <fills count="12">
    <fill>
      <patternFill patternType="none"/>
    </fill>
    <fill>
      <patternFill patternType="gray125"/>
    </fill>
    <fill>
      <patternFill patternType="solid">
        <fgColor rgb="FF1E3A8A"/>
        <bgColor rgb="FF1E3A8A"/>
      </patternFill>
    </fill>
    <fill>
      <patternFill patternType="solid">
        <fgColor rgb="FFDBEAFE"/>
        <bgColor rgb="FFDBEAFE"/>
      </patternFill>
    </fill>
    <fill>
      <patternFill patternType="solid">
        <fgColor rgb="FFF0FDF4"/>
        <bgColor rgb="FFF0FDF4"/>
      </patternFill>
    </fill>
    <fill>
      <patternFill patternType="solid">
        <fgColor rgb="FF1E3A8A"/>
        <bgColor rgb="FF1E3A8A"/>
      </patternFill>
    </fill>
    <fill>
      <patternFill patternType="solid">
        <fgColor rgb="FFDBEAFE"/>
        <bgColor rgb="FFDBEAFE"/>
      </patternFill>
    </fill>
    <fill>
      <patternFill patternType="solid">
        <fgColor rgb="FFF0FDF4"/>
        <bgColor rgb="FFF0FDF4"/>
      </patternFill>
    </fill>
    <fill>
      <patternFill patternType="solid">
        <fgColor rgb="FF1E3A8A"/>
        <bgColor rgb="FF1E3A8A"/>
      </patternFill>
    </fill>
    <fill>
      <patternFill patternType="solid">
        <fgColor rgb="FFDBEAFE"/>
        <bgColor rgb="FFDBEAFE"/>
      </patternFill>
    </fill>
    <fill>
      <patternFill patternType="solid">
        <fgColor rgb="FFF0FDF4"/>
        <bgColor rgb="FFF0FDF4"/>
      </patternFill>
    </fill>
    <fill>
      <patternFill patternType="solid">
        <fgColor rgb="FFFEF3C7"/>
        <bgColor rgb="FFFEF3C7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3">
    <xf numFmtId="0" fontId="0" fillId="0" borderId="0" xfId="0"/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3" fontId="3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0" fontId="2" fillId="7" borderId="2" xfId="0" applyFont="1" applyFill="1" applyBorder="1" applyAlignment="1">
      <alignment horizontal="right" vertical="center"/>
    </xf>
    <xf numFmtId="1" fontId="2" fillId="7" borderId="2" xfId="0" applyNumberFormat="1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3" fillId="7" borderId="2" xfId="0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center" vertical="center"/>
    </xf>
    <xf numFmtId="1" fontId="3" fillId="7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right" vertical="center"/>
    </xf>
    <xf numFmtId="9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right" vertical="center" wrapText="1"/>
    </xf>
    <xf numFmtId="166" fontId="2" fillId="7" borderId="2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1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2" fillId="11" borderId="5" xfId="0" applyFont="1" applyFill="1" applyBorder="1" applyAlignment="1">
      <alignment horizontal="right" vertical="center"/>
    </xf>
    <xf numFmtId="10" fontId="3" fillId="11" borderId="5" xfId="0" applyNumberFormat="1" applyFont="1" applyFill="1" applyBorder="1" applyAlignment="1">
      <alignment horizontal="center" vertical="center"/>
    </xf>
    <xf numFmtId="10" fontId="2" fillId="11" borderId="5" xfId="0" applyNumberFormat="1" applyFont="1" applyFill="1" applyBorder="1" applyAlignment="1">
      <alignment horizontal="center" vertical="center"/>
    </xf>
    <xf numFmtId="3" fontId="2" fillId="11" borderId="5" xfId="0" applyNumberFormat="1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right" vertical="center"/>
    </xf>
    <xf numFmtId="10" fontId="2" fillId="9" borderId="5" xfId="0" applyNumberFormat="1" applyFont="1" applyFill="1" applyBorder="1" applyAlignment="1">
      <alignment horizontal="center" vertical="center"/>
    </xf>
    <xf numFmtId="3" fontId="2" fillId="9" borderId="5" xfId="0" applyNumberFormat="1" applyFont="1" applyFill="1" applyBorder="1" applyAlignment="1">
      <alignment horizontal="center" vertical="center"/>
    </xf>
    <xf numFmtId="166" fontId="2" fillId="1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7" fillId="5" borderId="0" xfId="0" applyFont="1" applyFill="1" applyAlignment="1">
      <alignment horizontal="right" vertical="center"/>
    </xf>
    <xf numFmtId="0" fontId="0" fillId="0" borderId="0" xfId="0"/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 applyAlignment="1">
      <alignment horizontal="right"/>
    </xf>
    <xf numFmtId="0" fontId="11" fillId="0" borderId="0" xfId="0" applyFont="1"/>
    <xf numFmtId="0" fontId="8" fillId="0" borderId="0" xfId="0" applyFont="1"/>
    <xf numFmtId="0" fontId="2" fillId="10" borderId="0" xfId="0" applyFont="1" applyFill="1" applyAlignment="1">
      <alignment horizontal="right" vertical="center"/>
    </xf>
    <xf numFmtId="0" fontId="12" fillId="8" borderId="0" xfId="0" applyFont="1" applyFill="1" applyAlignment="1">
      <alignment horizontal="right" vertical="center"/>
    </xf>
    <xf numFmtId="0" fontId="5" fillId="2" borderId="0" xfId="0" applyFont="1" applyFill="1"/>
    <xf numFmtId="0" fontId="1" fillId="0" borderId="2" xfId="0" applyFont="1" applyBorder="1"/>
    <xf numFmtId="0" fontId="0" fillId="0" borderId="4" xfId="0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rightToLeft="1" tabSelected="1" workbookViewId="0">
      <selection activeCell="G18" sqref="G18"/>
    </sheetView>
  </sheetViews>
  <sheetFormatPr defaultRowHeight="15" x14ac:dyDescent="0.25"/>
  <cols>
    <col min="1" max="1" width="35" customWidth="1"/>
    <col min="2" max="6" width="18" customWidth="1"/>
  </cols>
  <sheetData>
    <row r="1" spans="1:6" ht="23.25" customHeight="1" x14ac:dyDescent="0.35">
      <c r="A1" s="74" t="s">
        <v>329</v>
      </c>
      <c r="B1" s="72"/>
      <c r="C1" s="72"/>
      <c r="D1" s="72"/>
      <c r="E1" s="72"/>
      <c r="F1" s="72"/>
    </row>
    <row r="2" spans="1:6" x14ac:dyDescent="0.25">
      <c r="A2" s="73" t="s">
        <v>332</v>
      </c>
      <c r="B2" s="69"/>
      <c r="C2" s="69"/>
      <c r="D2" s="69"/>
      <c r="E2" s="69"/>
      <c r="F2" s="69"/>
    </row>
    <row r="4" spans="1:6" ht="15.75" customHeight="1" x14ac:dyDescent="0.25">
      <c r="A4" s="5" t="s">
        <v>70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</row>
    <row r="5" spans="1:6" x14ac:dyDescent="0.25">
      <c r="A5" s="6" t="s">
        <v>71</v>
      </c>
      <c r="B5" s="7">
        <f>SUM('תוכנית תפעולית'!B12:M12)</f>
        <v>429806.73877427133</v>
      </c>
      <c r="C5" s="7">
        <f>SUM('תוכנית תפעולית'!N12:Y12)</f>
        <v>2549955.622220472</v>
      </c>
      <c r="D5" s="7">
        <f>SUM('תוכנית תפעולית'!Z12:AK12)</f>
        <v>7543640.1271122247</v>
      </c>
      <c r="E5" s="7">
        <f>SUM('תוכנית תפעולית'!AL12:AW12)</f>
        <v>14235660.808227936</v>
      </c>
      <c r="F5" s="7">
        <f>SUM('תוכנית תפעולית'!AX12:BI12)</f>
        <v>20741463.820653163</v>
      </c>
    </row>
    <row r="6" spans="1:6" x14ac:dyDescent="0.25">
      <c r="A6" s="3" t="s">
        <v>72</v>
      </c>
      <c r="B6" s="1">
        <f>SUM('תוכנית תפעולית'!B20:M20)</f>
        <v>2437971.0108161406</v>
      </c>
      <c r="C6" s="1">
        <f>SUM('תוכנית תפעולית'!N20:Y20)</f>
        <v>4957943.3433330711</v>
      </c>
      <c r="D6" s="1">
        <f>SUM('תוכנית תפעולית'!Z20:AK20)</f>
        <v>6890072.2690668339</v>
      </c>
      <c r="E6" s="1">
        <f>SUM('תוכנית תפעולית'!AL20:AW20)</f>
        <v>9073731.8712341916</v>
      </c>
      <c r="F6" s="1">
        <f>SUM('תוכנית תפעולית'!AX20:BI20)</f>
        <v>10338168.591847973</v>
      </c>
    </row>
    <row r="7" spans="1:6" x14ac:dyDescent="0.25">
      <c r="A7" s="8" t="s">
        <v>73</v>
      </c>
      <c r="B7" s="9">
        <f>SUM('תוכנית תפעולית'!B24:M24)</f>
        <v>-2008164.2720418689</v>
      </c>
      <c r="C7" s="9">
        <f>SUM('תוכנית תפעולית'!N24:Y24)</f>
        <v>-2407987.7211125987</v>
      </c>
      <c r="D7" s="9">
        <f>SUM('תוכנית תפעולית'!Z24:AK24)</f>
        <v>653567.85804539057</v>
      </c>
      <c r="E7" s="9">
        <f>SUM('תוכנית תפעולית'!AL24:AW24)</f>
        <v>5161928.9369937461</v>
      </c>
      <c r="F7" s="9">
        <f>SUM('תוכנית תפעולית'!AX24:BI24)</f>
        <v>10403295.228805186</v>
      </c>
    </row>
    <row r="8" spans="1:6" x14ac:dyDescent="0.25">
      <c r="A8" s="3" t="s">
        <v>74</v>
      </c>
      <c r="B8" s="4">
        <f>'תוכנית תפעולית'!M11</f>
        <v>11.8160056251592</v>
      </c>
      <c r="C8" s="4">
        <f>'תוכנית תפעולית'!Y11</f>
        <v>57.67940257205963</v>
      </c>
      <c r="D8" s="4">
        <f>'תוכנית תפעולית'!AK11</f>
        <v>105.50903415783735</v>
      </c>
      <c r="E8" s="4">
        <f>'תוכנית תפעולית'!AW11</f>
        <v>225.55703222019622</v>
      </c>
      <c r="F8" s="4">
        <f>'תוכנית תפעולית'!BI11</f>
        <v>329.1364577194928</v>
      </c>
    </row>
    <row r="9" spans="1:6" x14ac:dyDescent="0.25">
      <c r="A9" s="8" t="s">
        <v>75</v>
      </c>
      <c r="B9" s="9">
        <f>'תוכנית תפעולית'!M13</f>
        <v>883573.8312792558</v>
      </c>
      <c r="C9" s="9">
        <f>'תוכנית תפעולית'!Y13</f>
        <v>4574901.9203785835</v>
      </c>
      <c r="D9" s="9">
        <f>'תוכנית תפעולית'!AK13</f>
        <v>10689148.226397131</v>
      </c>
      <c r="E9" s="9">
        <f>'תוכנית תפעולית'!AW13</f>
        <v>17664992.14071903</v>
      </c>
      <c r="F9" s="9">
        <f>'תוכנית תפעולית'!BI13</f>
        <v>23680114.389998075</v>
      </c>
    </row>
    <row r="10" spans="1:6" x14ac:dyDescent="0.25">
      <c r="A10" s="3" t="s">
        <v>76</v>
      </c>
      <c r="B10" s="4">
        <f>'תוכנית תפעולית'!M16</f>
        <v>6</v>
      </c>
      <c r="C10" s="4">
        <f>'תוכנית תפעולית'!Y16</f>
        <v>8</v>
      </c>
      <c r="D10" s="4">
        <f>'תוכנית תפעולית'!AK16</f>
        <v>12</v>
      </c>
      <c r="E10" s="4">
        <f>'תוכנית תפעולית'!AW16</f>
        <v>12</v>
      </c>
      <c r="F10" s="4">
        <f>'תוכנית תפעולית'!BI16</f>
        <v>12</v>
      </c>
    </row>
    <row r="11" spans="1:6" x14ac:dyDescent="0.25">
      <c r="A11" s="8" t="s">
        <v>77</v>
      </c>
      <c r="B11" s="9">
        <f>'תוכנית תפעולית'!M29</f>
        <v>2991835.7279581307</v>
      </c>
      <c r="C11" s="9">
        <f>'תוכנית תפעולית'!Y29</f>
        <v>583848.00684553175</v>
      </c>
      <c r="D11" s="9">
        <f>'תוכנית תפעולית'!AK29</f>
        <v>1237415.8648909223</v>
      </c>
      <c r="E11" s="9">
        <f>'תוכנית תפעולית'!AW29</f>
        <v>6399344.8018846689</v>
      </c>
      <c r="F11" s="9">
        <f>'תוכנית תפעולית'!BI29</f>
        <v>16802640.030689858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"/>
  <sheetViews>
    <sheetView rightToLeft="1" workbookViewId="0">
      <selection sqref="A1:D1"/>
    </sheetView>
  </sheetViews>
  <sheetFormatPr defaultRowHeight="15" x14ac:dyDescent="0.25"/>
  <cols>
    <col min="1" max="1" width="30" customWidth="1"/>
    <col min="2" max="2" width="20.85546875" customWidth="1"/>
    <col min="3" max="4" width="18" customWidth="1"/>
  </cols>
  <sheetData>
    <row r="1" spans="1:4" ht="20.25" customHeight="1" x14ac:dyDescent="0.3">
      <c r="A1" s="71" t="s">
        <v>330</v>
      </c>
      <c r="B1" s="72"/>
      <c r="C1" s="72"/>
      <c r="D1" s="72"/>
    </row>
    <row r="2" spans="1:4" x14ac:dyDescent="0.25">
      <c r="A2" s="75" t="s">
        <v>0</v>
      </c>
      <c r="B2" s="69"/>
      <c r="C2" s="69"/>
      <c r="D2" s="69"/>
    </row>
    <row r="4" spans="1:4" x14ac:dyDescent="0.25">
      <c r="A4" s="68" t="s">
        <v>1</v>
      </c>
      <c r="B4" s="69"/>
      <c r="C4" s="69"/>
      <c r="D4" s="69"/>
    </row>
    <row r="5" spans="1:4" x14ac:dyDescent="0.25">
      <c r="A5" s="40" t="s">
        <v>2</v>
      </c>
      <c r="B5" s="40" t="s">
        <v>3</v>
      </c>
      <c r="C5" s="40" t="s">
        <v>4</v>
      </c>
      <c r="D5" s="40" t="s">
        <v>5</v>
      </c>
    </row>
    <row r="6" spans="1:4" x14ac:dyDescent="0.25">
      <c r="A6" s="25" t="s">
        <v>6</v>
      </c>
      <c r="B6" s="41">
        <v>0.82</v>
      </c>
      <c r="C6" s="41">
        <v>0.15</v>
      </c>
      <c r="D6" s="41">
        <v>0.03</v>
      </c>
    </row>
    <row r="7" spans="1:4" x14ac:dyDescent="0.25">
      <c r="A7" s="25" t="s">
        <v>7</v>
      </c>
      <c r="B7" s="18">
        <v>500</v>
      </c>
      <c r="C7" s="18">
        <v>4000</v>
      </c>
      <c r="D7" s="18">
        <v>20000</v>
      </c>
    </row>
    <row r="8" spans="1:4" x14ac:dyDescent="0.25">
      <c r="A8" s="25" t="s">
        <v>8</v>
      </c>
      <c r="B8" s="18">
        <v>3000</v>
      </c>
      <c r="C8" s="18">
        <v>18000</v>
      </c>
      <c r="D8" s="18">
        <v>45000</v>
      </c>
    </row>
    <row r="9" spans="1:4" x14ac:dyDescent="0.25">
      <c r="A9" s="25" t="s">
        <v>9</v>
      </c>
      <c r="B9" s="18">
        <v>24</v>
      </c>
      <c r="C9" s="18">
        <v>30</v>
      </c>
      <c r="D9" s="18">
        <v>24</v>
      </c>
    </row>
    <row r="10" spans="1:4" x14ac:dyDescent="0.25">
      <c r="A10" s="25" t="s">
        <v>10</v>
      </c>
      <c r="B10" s="42">
        <v>8.0000000000000002E-3</v>
      </c>
      <c r="C10" s="42">
        <v>4.0000000000000001E-3</v>
      </c>
      <c r="D10" s="42">
        <v>2E-3</v>
      </c>
    </row>
    <row r="12" spans="1:4" x14ac:dyDescent="0.25">
      <c r="A12" s="68" t="s">
        <v>11</v>
      </c>
      <c r="B12" s="69"/>
      <c r="C12" s="69"/>
      <c r="D12" s="69"/>
    </row>
    <row r="13" spans="1:4" x14ac:dyDescent="0.25">
      <c r="A13" s="25" t="s">
        <v>12</v>
      </c>
      <c r="B13" s="26">
        <v>1</v>
      </c>
    </row>
    <row r="14" spans="1:4" x14ac:dyDescent="0.25">
      <c r="A14" s="25" t="s">
        <v>13</v>
      </c>
      <c r="B14" s="18">
        <v>240000</v>
      </c>
    </row>
    <row r="15" spans="1:4" x14ac:dyDescent="0.25">
      <c r="A15" s="25" t="s">
        <v>14</v>
      </c>
      <c r="B15" s="18">
        <f>B14/12</f>
        <v>20000</v>
      </c>
    </row>
    <row r="16" spans="1:4" x14ac:dyDescent="0.25">
      <c r="A16" s="25" t="s">
        <v>15</v>
      </c>
      <c r="B16" s="26">
        <v>6</v>
      </c>
    </row>
    <row r="17" spans="1:4" x14ac:dyDescent="0.25">
      <c r="A17" s="68" t="s">
        <v>16</v>
      </c>
      <c r="B17" s="69"/>
      <c r="C17" s="69"/>
      <c r="D17" s="69"/>
    </row>
    <row r="18" spans="1:4" x14ac:dyDescent="0.25">
      <c r="A18" s="40" t="s">
        <v>17</v>
      </c>
      <c r="B18" s="40" t="s">
        <v>3</v>
      </c>
      <c r="C18" s="40" t="s">
        <v>4</v>
      </c>
      <c r="D18" s="40" t="s">
        <v>5</v>
      </c>
    </row>
    <row r="19" spans="1:4" x14ac:dyDescent="0.25">
      <c r="A19" s="25" t="s">
        <v>18</v>
      </c>
      <c r="B19" s="26">
        <v>5</v>
      </c>
      <c r="C19" s="26">
        <v>5</v>
      </c>
      <c r="D19" s="26">
        <v>1</v>
      </c>
    </row>
    <row r="20" spans="1:4" x14ac:dyDescent="0.25">
      <c r="A20" s="25" t="s">
        <v>19</v>
      </c>
      <c r="B20" s="26">
        <v>20</v>
      </c>
      <c r="C20" s="26">
        <v>25</v>
      </c>
      <c r="D20" s="26">
        <v>3</v>
      </c>
    </row>
    <row r="21" spans="1:4" x14ac:dyDescent="0.25">
      <c r="A21" s="25" t="s">
        <v>20</v>
      </c>
      <c r="B21" s="26">
        <v>20</v>
      </c>
      <c r="C21" s="26">
        <v>30</v>
      </c>
      <c r="D21" s="26">
        <v>3</v>
      </c>
    </row>
    <row r="22" spans="1:4" x14ac:dyDescent="0.25">
      <c r="A22" s="25" t="s">
        <v>21</v>
      </c>
      <c r="B22" s="26">
        <v>120</v>
      </c>
      <c r="C22" s="26">
        <v>10</v>
      </c>
      <c r="D22" s="26">
        <v>2</v>
      </c>
    </row>
    <row r="23" spans="1:4" x14ac:dyDescent="0.25">
      <c r="A23" s="25" t="s">
        <v>22</v>
      </c>
      <c r="B23" s="26">
        <v>120</v>
      </c>
      <c r="C23" s="26">
        <v>5</v>
      </c>
      <c r="D23" s="26">
        <v>1</v>
      </c>
    </row>
    <row r="25" spans="1:4" x14ac:dyDescent="0.25">
      <c r="A25" s="68" t="s">
        <v>23</v>
      </c>
      <c r="B25" s="69"/>
      <c r="C25" s="69"/>
      <c r="D25" s="69"/>
    </row>
    <row r="26" spans="1:4" x14ac:dyDescent="0.25">
      <c r="A26" s="40" t="s">
        <v>24</v>
      </c>
      <c r="B26" s="40" t="s">
        <v>327</v>
      </c>
      <c r="C26" s="40" t="s">
        <v>25</v>
      </c>
    </row>
    <row r="27" spans="1:4" x14ac:dyDescent="0.25">
      <c r="A27" s="25" t="s">
        <v>26</v>
      </c>
      <c r="B27" s="18">
        <v>38000</v>
      </c>
      <c r="C27" s="26">
        <v>1</v>
      </c>
      <c r="D27" t="s">
        <v>328</v>
      </c>
    </row>
    <row r="28" spans="1:4" x14ac:dyDescent="0.25">
      <c r="A28" s="25" t="s">
        <v>27</v>
      </c>
      <c r="B28" s="18">
        <v>50000</v>
      </c>
      <c r="C28" s="26">
        <v>1</v>
      </c>
    </row>
    <row r="29" spans="1:4" x14ac:dyDescent="0.25">
      <c r="A29" s="25" t="s">
        <v>28</v>
      </c>
      <c r="B29" s="18">
        <v>45000</v>
      </c>
      <c r="C29" s="26">
        <v>12</v>
      </c>
    </row>
    <row r="30" spans="1:4" x14ac:dyDescent="0.25">
      <c r="A30" s="25" t="s">
        <v>29</v>
      </c>
      <c r="B30" s="18">
        <v>47000</v>
      </c>
      <c r="C30" s="26">
        <v>12</v>
      </c>
    </row>
    <row r="31" spans="1:4" x14ac:dyDescent="0.25">
      <c r="A31" s="25" t="s">
        <v>30</v>
      </c>
      <c r="B31" s="18">
        <v>38000</v>
      </c>
      <c r="C31" s="26">
        <v>12</v>
      </c>
    </row>
    <row r="32" spans="1:4" x14ac:dyDescent="0.25">
      <c r="A32" s="25" t="s">
        <v>31</v>
      </c>
      <c r="B32" s="18">
        <v>50000</v>
      </c>
      <c r="C32" s="26">
        <v>2</v>
      </c>
    </row>
    <row r="33" spans="1:4" x14ac:dyDescent="0.25">
      <c r="A33" s="25" t="s">
        <v>32</v>
      </c>
      <c r="B33" s="18">
        <v>32000</v>
      </c>
      <c r="C33" s="26">
        <v>20</v>
      </c>
    </row>
    <row r="34" spans="1:4" x14ac:dyDescent="0.25">
      <c r="A34" s="25" t="s">
        <v>33</v>
      </c>
      <c r="B34" s="18">
        <v>22000</v>
      </c>
      <c r="C34" s="26">
        <v>14</v>
      </c>
    </row>
    <row r="35" spans="1:4" x14ac:dyDescent="0.25">
      <c r="A35" s="25" t="s">
        <v>34</v>
      </c>
      <c r="B35" s="18">
        <v>35000</v>
      </c>
      <c r="C35" s="26">
        <v>25</v>
      </c>
    </row>
    <row r="36" spans="1:4" x14ac:dyDescent="0.25">
      <c r="A36" s="25" t="s">
        <v>35</v>
      </c>
      <c r="B36" s="18">
        <v>40000</v>
      </c>
      <c r="C36" s="26">
        <v>35</v>
      </c>
    </row>
    <row r="37" spans="1:4" x14ac:dyDescent="0.25">
      <c r="A37" s="25" t="s">
        <v>36</v>
      </c>
      <c r="B37" s="18">
        <v>20000</v>
      </c>
      <c r="C37" s="26">
        <v>31</v>
      </c>
    </row>
    <row r="38" spans="1:4" x14ac:dyDescent="0.25">
      <c r="A38" s="25" t="s">
        <v>37</v>
      </c>
      <c r="B38" s="18">
        <v>35000</v>
      </c>
      <c r="C38" s="26">
        <v>35</v>
      </c>
    </row>
    <row r="39" spans="1:4" x14ac:dyDescent="0.25">
      <c r="A39" s="68" t="s">
        <v>38</v>
      </c>
      <c r="B39" s="69"/>
      <c r="C39" s="69"/>
      <c r="D39" s="69"/>
    </row>
    <row r="40" spans="1:4" x14ac:dyDescent="0.25">
      <c r="A40" s="40" t="s">
        <v>39</v>
      </c>
      <c r="B40" s="40" t="s">
        <v>40</v>
      </c>
      <c r="C40" s="40" t="s">
        <v>41</v>
      </c>
      <c r="D40" s="40" t="s">
        <v>25</v>
      </c>
    </row>
    <row r="41" spans="1:4" x14ac:dyDescent="0.25">
      <c r="A41" s="25" t="s">
        <v>42</v>
      </c>
      <c r="B41" s="18">
        <v>6000</v>
      </c>
      <c r="C41" s="41">
        <v>0.2</v>
      </c>
      <c r="D41" s="26">
        <v>10</v>
      </c>
    </row>
    <row r="42" spans="1:4" x14ac:dyDescent="0.25">
      <c r="A42" s="25" t="s">
        <v>43</v>
      </c>
      <c r="B42" s="18">
        <v>8000</v>
      </c>
      <c r="C42" s="41">
        <v>0.2</v>
      </c>
      <c r="D42" s="26">
        <v>1</v>
      </c>
    </row>
    <row r="43" spans="1:4" x14ac:dyDescent="0.25">
      <c r="A43" s="25" t="s">
        <v>44</v>
      </c>
      <c r="B43" s="18">
        <v>7500</v>
      </c>
      <c r="C43" s="41">
        <v>0.1</v>
      </c>
      <c r="D43" s="26">
        <v>1</v>
      </c>
    </row>
    <row r="44" spans="1:4" x14ac:dyDescent="0.25">
      <c r="A44" s="25" t="s">
        <v>45</v>
      </c>
      <c r="B44" s="18">
        <v>2500</v>
      </c>
      <c r="C44" s="41">
        <v>0.1</v>
      </c>
      <c r="D44" s="26">
        <v>12</v>
      </c>
    </row>
    <row r="45" spans="1:4" x14ac:dyDescent="0.25">
      <c r="A45" s="25" t="s">
        <v>46</v>
      </c>
      <c r="B45" s="18">
        <v>5000</v>
      </c>
      <c r="C45" s="41">
        <v>0.2</v>
      </c>
      <c r="D45" s="26">
        <v>12</v>
      </c>
    </row>
    <row r="46" spans="1:4" x14ac:dyDescent="0.25">
      <c r="A46" s="25" t="s">
        <v>47</v>
      </c>
      <c r="B46" s="18">
        <v>7500</v>
      </c>
      <c r="C46" s="41">
        <v>0.05</v>
      </c>
      <c r="D46" s="26">
        <v>1</v>
      </c>
    </row>
    <row r="47" spans="1:4" x14ac:dyDescent="0.25">
      <c r="A47" s="25" t="s">
        <v>48</v>
      </c>
      <c r="B47" s="18">
        <v>3000</v>
      </c>
      <c r="C47" s="41">
        <v>0.05</v>
      </c>
      <c r="D47" s="26">
        <v>1</v>
      </c>
    </row>
    <row r="48" spans="1:4" x14ac:dyDescent="0.25">
      <c r="A48" s="25" t="s">
        <v>49</v>
      </c>
      <c r="B48" s="18">
        <v>2000</v>
      </c>
      <c r="C48" s="41">
        <v>0.05</v>
      </c>
      <c r="D48" s="26">
        <v>1</v>
      </c>
    </row>
    <row r="49" spans="1:4" x14ac:dyDescent="0.25">
      <c r="A49" s="25" t="s">
        <v>50</v>
      </c>
      <c r="B49" s="18">
        <v>7500</v>
      </c>
      <c r="C49" s="41">
        <v>0.05</v>
      </c>
      <c r="D49" s="26">
        <v>1</v>
      </c>
    </row>
    <row r="50" spans="1:4" x14ac:dyDescent="0.25">
      <c r="A50" s="25" t="s">
        <v>51</v>
      </c>
      <c r="B50" s="18">
        <v>2500</v>
      </c>
      <c r="C50" s="41">
        <v>0.1</v>
      </c>
      <c r="D50" s="26">
        <v>1</v>
      </c>
    </row>
    <row r="51" spans="1:4" x14ac:dyDescent="0.25">
      <c r="A51" s="25" t="s">
        <v>52</v>
      </c>
      <c r="B51" s="18">
        <v>8000</v>
      </c>
      <c r="C51" s="41">
        <v>0.15</v>
      </c>
      <c r="D51" s="26">
        <v>1</v>
      </c>
    </row>
    <row r="52" spans="1:4" x14ac:dyDescent="0.25">
      <c r="A52" s="25" t="s">
        <v>53</v>
      </c>
      <c r="B52" s="18">
        <v>2000</v>
      </c>
      <c r="C52" s="41">
        <v>0.1</v>
      </c>
      <c r="D52" s="26">
        <v>1</v>
      </c>
    </row>
    <row r="53" spans="1:4" x14ac:dyDescent="0.25">
      <c r="A53" s="25" t="s">
        <v>54</v>
      </c>
      <c r="B53" s="18">
        <v>3000</v>
      </c>
      <c r="C53" s="41">
        <v>0.1</v>
      </c>
      <c r="D53" s="26">
        <v>1</v>
      </c>
    </row>
    <row r="54" spans="1:4" x14ac:dyDescent="0.25">
      <c r="A54" s="24" t="s">
        <v>55</v>
      </c>
    </row>
    <row r="55" spans="1:4" x14ac:dyDescent="0.25">
      <c r="A55" s="25" t="s">
        <v>56</v>
      </c>
      <c r="B55" s="42">
        <v>2.5000000000000001E-2</v>
      </c>
    </row>
    <row r="56" spans="1:4" x14ac:dyDescent="0.25">
      <c r="A56" s="63"/>
    </row>
    <row r="57" spans="1:4" x14ac:dyDescent="0.25">
      <c r="A57" s="24" t="s">
        <v>57</v>
      </c>
    </row>
    <row r="58" spans="1:4" x14ac:dyDescent="0.25">
      <c r="A58" s="25" t="s">
        <v>58</v>
      </c>
      <c r="B58" s="18">
        <v>5000000</v>
      </c>
    </row>
    <row r="59" spans="1:4" x14ac:dyDescent="0.25">
      <c r="A59" s="25" t="s">
        <v>59</v>
      </c>
      <c r="B59" s="18">
        <v>20000000</v>
      </c>
    </row>
    <row r="60" spans="1:4" x14ac:dyDescent="0.25">
      <c r="A60" s="25" t="s">
        <v>60</v>
      </c>
      <c r="B60" s="18">
        <f>B58+B59</f>
        <v>25000000</v>
      </c>
      <c r="C60" s="19"/>
      <c r="D60" s="20"/>
    </row>
    <row r="61" spans="1:4" x14ac:dyDescent="0.25">
      <c r="A61" s="24" t="s">
        <v>61</v>
      </c>
    </row>
    <row r="62" spans="1:4" x14ac:dyDescent="0.25">
      <c r="A62" s="25" t="s">
        <v>62</v>
      </c>
      <c r="B62" s="18">
        <v>1500000</v>
      </c>
    </row>
    <row r="63" spans="1:4" x14ac:dyDescent="0.25">
      <c r="A63" s="25" t="s">
        <v>63</v>
      </c>
      <c r="B63" s="18">
        <v>15000000</v>
      </c>
    </row>
    <row r="64" spans="1:4" x14ac:dyDescent="0.25">
      <c r="A64" s="25" t="s">
        <v>64</v>
      </c>
      <c r="B64" s="41">
        <v>0.2</v>
      </c>
    </row>
    <row r="65" spans="1:2" x14ac:dyDescent="0.25">
      <c r="A65" s="25" t="s">
        <v>65</v>
      </c>
      <c r="B65" s="18">
        <v>3500000</v>
      </c>
    </row>
    <row r="66" spans="1:2" x14ac:dyDescent="0.25">
      <c r="A66" s="25" t="s">
        <v>66</v>
      </c>
      <c r="B66" s="41">
        <v>0.2</v>
      </c>
    </row>
    <row r="67" spans="1:2" x14ac:dyDescent="0.25">
      <c r="A67" s="25" t="s">
        <v>67</v>
      </c>
      <c r="B67" s="41">
        <v>0.05</v>
      </c>
    </row>
    <row r="68" spans="1:2" x14ac:dyDescent="0.25">
      <c r="A68" s="25" t="s">
        <v>68</v>
      </c>
      <c r="B68" s="41">
        <v>0.23</v>
      </c>
    </row>
    <row r="69" spans="1:2" x14ac:dyDescent="0.25">
      <c r="A69" s="25" t="s">
        <v>69</v>
      </c>
      <c r="B69" s="41">
        <v>0.85</v>
      </c>
    </row>
  </sheetData>
  <mergeCells count="7">
    <mergeCell ref="A1:D1"/>
    <mergeCell ref="A17:D17"/>
    <mergeCell ref="A12:D12"/>
    <mergeCell ref="A4:D4"/>
    <mergeCell ref="A39:D39"/>
    <mergeCell ref="A25:D25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44"/>
  <sheetViews>
    <sheetView rightToLeft="1" workbookViewId="0">
      <pane xSplit="1" ySplit="4" topLeftCell="B5" activePane="bottomRight" state="frozen"/>
      <selection pane="topRight"/>
      <selection pane="bottomLeft"/>
      <selection pane="bottomRight" activeCell="I7" sqref="I7"/>
    </sheetView>
  </sheetViews>
  <sheetFormatPr defaultRowHeight="15" x14ac:dyDescent="0.25"/>
  <cols>
    <col min="1" max="1" width="38" customWidth="1"/>
    <col min="2" max="61" width="12" customWidth="1"/>
  </cols>
  <sheetData>
    <row r="1" spans="1:61" ht="20.25" customHeight="1" x14ac:dyDescent="0.3">
      <c r="A1" s="76" t="s">
        <v>331</v>
      </c>
      <c r="B1" s="69"/>
      <c r="C1" s="69"/>
      <c r="D1" s="69"/>
      <c r="E1" s="69"/>
      <c r="F1" s="69"/>
      <c r="G1" s="69"/>
    </row>
    <row r="2" spans="1:61" x14ac:dyDescent="0.25">
      <c r="A2" s="2" t="s">
        <v>17</v>
      </c>
      <c r="B2" s="22" t="s">
        <v>78</v>
      </c>
      <c r="C2" s="22" t="s">
        <v>78</v>
      </c>
      <c r="D2" s="22" t="s">
        <v>78</v>
      </c>
      <c r="E2" s="22" t="s">
        <v>78</v>
      </c>
      <c r="F2" s="22" t="s">
        <v>78</v>
      </c>
      <c r="G2" s="22" t="s">
        <v>78</v>
      </c>
      <c r="H2" s="22" t="s">
        <v>78</v>
      </c>
      <c r="I2" s="22" t="s">
        <v>78</v>
      </c>
      <c r="J2" s="22" t="s">
        <v>78</v>
      </c>
      <c r="K2" s="22" t="s">
        <v>78</v>
      </c>
      <c r="L2" s="22" t="s">
        <v>78</v>
      </c>
      <c r="M2" s="22" t="s">
        <v>78</v>
      </c>
      <c r="N2" s="22" t="s">
        <v>79</v>
      </c>
      <c r="O2" s="22" t="s">
        <v>79</v>
      </c>
      <c r="P2" s="22" t="s">
        <v>79</v>
      </c>
      <c r="Q2" s="22" t="s">
        <v>79</v>
      </c>
      <c r="R2" s="22" t="s">
        <v>79</v>
      </c>
      <c r="S2" s="22" t="s">
        <v>79</v>
      </c>
      <c r="T2" s="22" t="s">
        <v>79</v>
      </c>
      <c r="U2" s="22" t="s">
        <v>79</v>
      </c>
      <c r="V2" s="22" t="s">
        <v>79</v>
      </c>
      <c r="W2" s="22" t="s">
        <v>79</v>
      </c>
      <c r="X2" s="22" t="s">
        <v>79</v>
      </c>
      <c r="Y2" s="22" t="s">
        <v>79</v>
      </c>
      <c r="Z2" s="22" t="s">
        <v>80</v>
      </c>
      <c r="AA2" s="22" t="s">
        <v>80</v>
      </c>
      <c r="AB2" s="22" t="s">
        <v>80</v>
      </c>
      <c r="AC2" s="22" t="s">
        <v>80</v>
      </c>
      <c r="AD2" s="22" t="s">
        <v>80</v>
      </c>
      <c r="AE2" s="22" t="s">
        <v>80</v>
      </c>
      <c r="AF2" s="22" t="s">
        <v>80</v>
      </c>
      <c r="AG2" s="22" t="s">
        <v>80</v>
      </c>
      <c r="AH2" s="22" t="s">
        <v>80</v>
      </c>
      <c r="AI2" s="22" t="s">
        <v>80</v>
      </c>
      <c r="AJ2" s="22" t="s">
        <v>80</v>
      </c>
      <c r="AK2" s="22" t="s">
        <v>80</v>
      </c>
      <c r="AL2" s="22" t="s">
        <v>81</v>
      </c>
      <c r="AM2" s="22" t="s">
        <v>81</v>
      </c>
      <c r="AN2" s="22" t="s">
        <v>81</v>
      </c>
      <c r="AO2" s="22" t="s">
        <v>81</v>
      </c>
      <c r="AP2" s="22" t="s">
        <v>81</v>
      </c>
      <c r="AQ2" s="22" t="s">
        <v>81</v>
      </c>
      <c r="AR2" s="22" t="s">
        <v>81</v>
      </c>
      <c r="AS2" s="22" t="s">
        <v>81</v>
      </c>
      <c r="AT2" s="22" t="s">
        <v>81</v>
      </c>
      <c r="AU2" s="22" t="s">
        <v>81</v>
      </c>
      <c r="AV2" s="22" t="s">
        <v>81</v>
      </c>
      <c r="AW2" s="22" t="s">
        <v>81</v>
      </c>
      <c r="AX2" s="22" t="s">
        <v>82</v>
      </c>
      <c r="AY2" s="22" t="s">
        <v>82</v>
      </c>
      <c r="AZ2" s="22" t="s">
        <v>82</v>
      </c>
      <c r="BA2" s="22" t="s">
        <v>82</v>
      </c>
      <c r="BB2" s="22" t="s">
        <v>82</v>
      </c>
      <c r="BC2" s="22" t="s">
        <v>82</v>
      </c>
      <c r="BD2" s="22" t="s">
        <v>82</v>
      </c>
      <c r="BE2" s="22" t="s">
        <v>82</v>
      </c>
      <c r="BF2" s="22" t="s">
        <v>82</v>
      </c>
      <c r="BG2" s="22" t="s">
        <v>82</v>
      </c>
      <c r="BH2" s="22" t="s">
        <v>82</v>
      </c>
      <c r="BI2" s="22" t="s">
        <v>82</v>
      </c>
    </row>
    <row r="3" spans="1:61" x14ac:dyDescent="0.25">
      <c r="A3" s="23" t="s">
        <v>83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v>30</v>
      </c>
      <c r="AF3" s="23">
        <v>31</v>
      </c>
      <c r="AG3" s="23">
        <v>32</v>
      </c>
      <c r="AH3" s="23">
        <v>33</v>
      </c>
      <c r="AI3" s="23">
        <v>34</v>
      </c>
      <c r="AJ3" s="23">
        <v>35</v>
      </c>
      <c r="AK3" s="23">
        <v>36</v>
      </c>
      <c r="AL3" s="23">
        <v>37</v>
      </c>
      <c r="AM3" s="23">
        <v>38</v>
      </c>
      <c r="AN3" s="23">
        <v>39</v>
      </c>
      <c r="AO3" s="23">
        <v>40</v>
      </c>
      <c r="AP3" s="23">
        <v>41</v>
      </c>
      <c r="AQ3" s="23">
        <v>42</v>
      </c>
      <c r="AR3" s="23">
        <v>43</v>
      </c>
      <c r="AS3" s="23">
        <v>44</v>
      </c>
      <c r="AT3" s="23">
        <v>45</v>
      </c>
      <c r="AU3" s="23">
        <v>46</v>
      </c>
      <c r="AV3" s="23">
        <v>47</v>
      </c>
      <c r="AW3" s="23">
        <v>48</v>
      </c>
      <c r="AX3" s="23">
        <v>49</v>
      </c>
      <c r="AY3" s="23">
        <v>50</v>
      </c>
      <c r="AZ3" s="23">
        <v>51</v>
      </c>
      <c r="BA3" s="23">
        <v>52</v>
      </c>
      <c r="BB3" s="23">
        <v>53</v>
      </c>
      <c r="BC3" s="23">
        <v>54</v>
      </c>
      <c r="BD3" s="23">
        <v>55</v>
      </c>
      <c r="BE3" s="23">
        <v>56</v>
      </c>
      <c r="BF3" s="23">
        <v>57</v>
      </c>
      <c r="BG3" s="23">
        <v>58</v>
      </c>
      <c r="BH3" s="23">
        <v>59</v>
      </c>
      <c r="BI3" s="23">
        <v>60</v>
      </c>
    </row>
    <row r="4" spans="1:61" x14ac:dyDescent="0.25">
      <c r="A4" s="30" t="s">
        <v>84</v>
      </c>
      <c r="B4" s="30" t="s">
        <v>85</v>
      </c>
      <c r="C4" s="30" t="s">
        <v>86</v>
      </c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 t="s">
        <v>92</v>
      </c>
      <c r="J4" s="30" t="s">
        <v>93</v>
      </c>
      <c r="K4" s="30" t="s">
        <v>94</v>
      </c>
      <c r="L4" s="30" t="s">
        <v>95</v>
      </c>
      <c r="M4" s="30" t="s">
        <v>96</v>
      </c>
      <c r="N4" s="30" t="s">
        <v>97</v>
      </c>
      <c r="O4" s="30" t="s">
        <v>98</v>
      </c>
      <c r="P4" s="30" t="s">
        <v>99</v>
      </c>
      <c r="Q4" s="30" t="s">
        <v>100</v>
      </c>
      <c r="R4" s="30" t="s">
        <v>101</v>
      </c>
      <c r="S4" s="30" t="s">
        <v>102</v>
      </c>
      <c r="T4" s="30" t="s">
        <v>103</v>
      </c>
      <c r="U4" s="30" t="s">
        <v>104</v>
      </c>
      <c r="V4" s="30" t="s">
        <v>105</v>
      </c>
      <c r="W4" s="30" t="s">
        <v>106</v>
      </c>
      <c r="X4" s="30" t="s">
        <v>107</v>
      </c>
      <c r="Y4" s="30" t="s">
        <v>108</v>
      </c>
      <c r="Z4" s="30" t="s">
        <v>109</v>
      </c>
      <c r="AA4" s="30" t="s">
        <v>110</v>
      </c>
      <c r="AB4" s="30" t="s">
        <v>111</v>
      </c>
      <c r="AC4" s="30" t="s">
        <v>112</v>
      </c>
      <c r="AD4" s="30" t="s">
        <v>113</v>
      </c>
      <c r="AE4" s="30" t="s">
        <v>114</v>
      </c>
      <c r="AF4" s="30" t="s">
        <v>115</v>
      </c>
      <c r="AG4" s="30" t="s">
        <v>116</v>
      </c>
      <c r="AH4" s="30" t="s">
        <v>117</v>
      </c>
      <c r="AI4" s="30" t="s">
        <v>118</v>
      </c>
      <c r="AJ4" s="30" t="s">
        <v>119</v>
      </c>
      <c r="AK4" s="30" t="s">
        <v>120</v>
      </c>
      <c r="AL4" s="30" t="s">
        <v>121</v>
      </c>
      <c r="AM4" s="30" t="s">
        <v>122</v>
      </c>
      <c r="AN4" s="30" t="s">
        <v>123</v>
      </c>
      <c r="AO4" s="30" t="s">
        <v>124</v>
      </c>
      <c r="AP4" s="30" t="s">
        <v>125</v>
      </c>
      <c r="AQ4" s="30" t="s">
        <v>126</v>
      </c>
      <c r="AR4" s="30" t="s">
        <v>127</v>
      </c>
      <c r="AS4" s="30" t="s">
        <v>128</v>
      </c>
      <c r="AT4" s="30" t="s">
        <v>129</v>
      </c>
      <c r="AU4" s="30" t="s">
        <v>130</v>
      </c>
      <c r="AV4" s="30" t="s">
        <v>131</v>
      </c>
      <c r="AW4" s="30" t="s">
        <v>132</v>
      </c>
      <c r="AX4" s="30" t="s">
        <v>133</v>
      </c>
      <c r="AY4" s="30" t="s">
        <v>134</v>
      </c>
      <c r="AZ4" s="30" t="s">
        <v>135</v>
      </c>
      <c r="BA4" s="30" t="s">
        <v>136</v>
      </c>
      <c r="BB4" s="30" t="s">
        <v>137</v>
      </c>
      <c r="BC4" s="30" t="s">
        <v>138</v>
      </c>
      <c r="BD4" s="30" t="s">
        <v>139</v>
      </c>
      <c r="BE4" s="30" t="s">
        <v>140</v>
      </c>
      <c r="BF4" s="30" t="s">
        <v>141</v>
      </c>
      <c r="BG4" s="30" t="s">
        <v>142</v>
      </c>
      <c r="BH4" s="30" t="s">
        <v>143</v>
      </c>
      <c r="BI4" s="30" t="s">
        <v>144</v>
      </c>
    </row>
    <row r="6" spans="1:61" x14ac:dyDescent="0.25">
      <c r="A6" s="68" t="s">
        <v>145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x14ac:dyDescent="0.25">
      <c r="A7" s="35" t="s">
        <v>146</v>
      </c>
      <c r="B7" s="36">
        <f t="shared" ref="B7:AG7" si="0">B51+B52+B53+B54+B55</f>
        <v>0</v>
      </c>
      <c r="C7" s="36">
        <f t="shared" si="0"/>
        <v>0</v>
      </c>
      <c r="D7" s="36">
        <f t="shared" si="0"/>
        <v>0</v>
      </c>
      <c r="E7" s="36">
        <f t="shared" si="0"/>
        <v>0</v>
      </c>
      <c r="F7" s="36">
        <f t="shared" si="0"/>
        <v>0</v>
      </c>
      <c r="G7" s="36">
        <f t="shared" si="0"/>
        <v>0.7142857142857143</v>
      </c>
      <c r="H7" s="36">
        <f t="shared" si="0"/>
        <v>1.422857142857143</v>
      </c>
      <c r="I7" s="36">
        <f t="shared" si="0"/>
        <v>2.1257600000000001</v>
      </c>
      <c r="J7" s="36">
        <f t="shared" si="0"/>
        <v>2.8230396342857147</v>
      </c>
      <c r="K7" s="36">
        <f t="shared" si="0"/>
        <v>3.5147410314971435</v>
      </c>
      <c r="L7" s="36">
        <f t="shared" si="0"/>
        <v>4.2009088175308804</v>
      </c>
      <c r="M7" s="36">
        <f t="shared" si="0"/>
        <v>4.8815872612763478</v>
      </c>
      <c r="N7" s="36">
        <f t="shared" si="0"/>
        <v>6.5092012298528044</v>
      </c>
      <c r="O7" s="36">
        <f t="shared" si="0"/>
        <v>8.1237942866806492</v>
      </c>
      <c r="P7" s="36">
        <f t="shared" si="0"/>
        <v>9.725470599053871</v>
      </c>
      <c r="Q7" s="36">
        <f t="shared" si="0"/>
        <v>11.314333500928106</v>
      </c>
      <c r="R7" s="36">
        <f t="shared" si="0"/>
        <v>12.890485499587346</v>
      </c>
      <c r="S7" s="36">
        <f t="shared" si="0"/>
        <v>14.454028282257314</v>
      </c>
      <c r="T7" s="36">
        <f t="shared" si="0"/>
        <v>16.005062722665922</v>
      </c>
      <c r="U7" s="36">
        <f t="shared" si="0"/>
        <v>17.543688887551262</v>
      </c>
      <c r="V7" s="36">
        <f t="shared" si="0"/>
        <v>19.070006043117516</v>
      </c>
      <c r="W7" s="36">
        <f t="shared" si="0"/>
        <v>20.584112661439242</v>
      </c>
      <c r="X7" s="36">
        <f t="shared" si="0"/>
        <v>22.086106426814396</v>
      </c>
      <c r="Y7" s="36">
        <f t="shared" si="0"/>
        <v>23.576084242066546</v>
      </c>
      <c r="Z7" s="36">
        <f t="shared" si="0"/>
        <v>25.054142234796682</v>
      </c>
      <c r="AA7" s="36">
        <f t="shared" si="0"/>
        <v>26.520375763584973</v>
      </c>
      <c r="AB7" s="36">
        <f t="shared" si="0"/>
        <v>27.974879424142962</v>
      </c>
      <c r="AC7" s="36">
        <f t="shared" si="0"/>
        <v>29.417747055416484</v>
      </c>
      <c r="AD7" s="36">
        <f t="shared" si="0"/>
        <v>30.849071745639812</v>
      </c>
      <c r="AE7" s="36">
        <f t="shared" si="0"/>
        <v>32.268945838341359</v>
      </c>
      <c r="AF7" s="36">
        <f t="shared" si="0"/>
        <v>33.677460938301294</v>
      </c>
      <c r="AG7" s="36">
        <f t="shared" si="0"/>
        <v>35.074707917461552</v>
      </c>
      <c r="AH7" s="36">
        <f t="shared" ref="AH7:BI7" si="1">AH51+AH52+AH53+AH54+AH55</f>
        <v>36.460776920788526</v>
      </c>
      <c r="AI7" s="36">
        <f t="shared" si="1"/>
        <v>37.835757372088878</v>
      </c>
      <c r="AJ7" s="36">
        <f t="shared" si="1"/>
        <v>39.199737979778838</v>
      </c>
      <c r="AK7" s="36">
        <f t="shared" si="1"/>
        <v>40.552806742607274</v>
      </c>
      <c r="AL7" s="36">
        <f t="shared" si="1"/>
        <v>50.228384288666419</v>
      </c>
      <c r="AM7" s="36">
        <f t="shared" si="1"/>
        <v>59.826557214357081</v>
      </c>
      <c r="AN7" s="36">
        <f t="shared" si="1"/>
        <v>69.347944756642221</v>
      </c>
      <c r="AO7" s="36">
        <f t="shared" si="1"/>
        <v>78.79316119858909</v>
      </c>
      <c r="AP7" s="36">
        <f t="shared" si="1"/>
        <v>88.162815909000372</v>
      </c>
      <c r="AQ7" s="36">
        <f t="shared" si="1"/>
        <v>97.457513381728376</v>
      </c>
      <c r="AR7" s="36">
        <f t="shared" si="1"/>
        <v>106.67785327467455</v>
      </c>
      <c r="AS7" s="36">
        <f t="shared" si="1"/>
        <v>115.82443044847714</v>
      </c>
      <c r="AT7" s="36">
        <f t="shared" si="1"/>
        <v>124.89783500488933</v>
      </c>
      <c r="AU7" s="36">
        <f t="shared" si="1"/>
        <v>133.89865232485022</v>
      </c>
      <c r="AV7" s="36">
        <f t="shared" si="1"/>
        <v>142.8274631062514</v>
      </c>
      <c r="AW7" s="36">
        <f t="shared" si="1"/>
        <v>151.68484340140139</v>
      </c>
      <c r="AX7" s="36">
        <f t="shared" si="1"/>
        <v>160.47136465419021</v>
      </c>
      <c r="AY7" s="36">
        <f t="shared" si="1"/>
        <v>169.18759373695667</v>
      </c>
      <c r="AZ7" s="36">
        <f t="shared" si="1"/>
        <v>177.83409298706101</v>
      </c>
      <c r="BA7" s="36">
        <f t="shared" si="1"/>
        <v>186.41142024316454</v>
      </c>
      <c r="BB7" s="36">
        <f t="shared" si="1"/>
        <v>194.9201288812192</v>
      </c>
      <c r="BC7" s="36">
        <f t="shared" si="1"/>
        <v>203.36076785016945</v>
      </c>
      <c r="BD7" s="36">
        <f t="shared" si="1"/>
        <v>211.73388170736811</v>
      </c>
      <c r="BE7" s="36">
        <f t="shared" si="1"/>
        <v>220.04001065370915</v>
      </c>
      <c r="BF7" s="36">
        <f t="shared" si="1"/>
        <v>228.27969056847945</v>
      </c>
      <c r="BG7" s="36">
        <f t="shared" si="1"/>
        <v>236.45345304393166</v>
      </c>
      <c r="BH7" s="36">
        <f t="shared" si="1"/>
        <v>244.5618254195802</v>
      </c>
      <c r="BI7" s="36">
        <f t="shared" si="1"/>
        <v>252.60533081622356</v>
      </c>
    </row>
    <row r="8" spans="1:61" x14ac:dyDescent="0.25">
      <c r="A8" s="35" t="s">
        <v>147</v>
      </c>
      <c r="B8" s="36">
        <f t="shared" ref="B8:AG8" si="2">B56+B57+B58+B59+B60</f>
        <v>0</v>
      </c>
      <c r="C8" s="36">
        <f t="shared" si="2"/>
        <v>0</v>
      </c>
      <c r="D8" s="36">
        <f t="shared" si="2"/>
        <v>0</v>
      </c>
      <c r="E8" s="36">
        <f t="shared" si="2"/>
        <v>0</v>
      </c>
      <c r="F8" s="36">
        <f t="shared" si="2"/>
        <v>0</v>
      </c>
      <c r="G8" s="36">
        <f t="shared" si="2"/>
        <v>0.7142857142857143</v>
      </c>
      <c r="H8" s="36">
        <f t="shared" si="2"/>
        <v>1.4257142857142857</v>
      </c>
      <c r="I8" s="36">
        <f t="shared" si="2"/>
        <v>2.1342971428571427</v>
      </c>
      <c r="J8" s="36">
        <f t="shared" si="2"/>
        <v>2.8400456685714284</v>
      </c>
      <c r="K8" s="36">
        <f t="shared" si="2"/>
        <v>3.5429712001828571</v>
      </c>
      <c r="L8" s="36">
        <f t="shared" si="2"/>
        <v>4.2430850296678395</v>
      </c>
      <c r="M8" s="36">
        <f t="shared" si="2"/>
        <v>4.9403984038348829</v>
      </c>
      <c r="N8" s="36">
        <f t="shared" si="2"/>
        <v>7.0039701435528769</v>
      </c>
      <c r="O8" s="36">
        <f t="shared" si="2"/>
        <v>9.0592875963119983</v>
      </c>
      <c r="P8" s="36">
        <f t="shared" si="2"/>
        <v>11.106383779260085</v>
      </c>
      <c r="Q8" s="36">
        <f t="shared" si="2"/>
        <v>13.145291577476376</v>
      </c>
      <c r="R8" s="36">
        <f t="shared" si="2"/>
        <v>15.176043744499804</v>
      </c>
      <c r="S8" s="36">
        <f t="shared" si="2"/>
        <v>17.198672902855137</v>
      </c>
      <c r="T8" s="36">
        <f t="shared" si="2"/>
        <v>19.213211544577053</v>
      </c>
      <c r="U8" s="36">
        <f t="shared" si="2"/>
        <v>21.219692031732077</v>
      </c>
      <c r="V8" s="36">
        <f t="shared" si="2"/>
        <v>23.218146596938482</v>
      </c>
      <c r="W8" s="36">
        <f t="shared" si="2"/>
        <v>25.208607343884061</v>
      </c>
      <c r="X8" s="36">
        <f t="shared" si="2"/>
        <v>27.191106247841859</v>
      </c>
      <c r="Y8" s="36">
        <f t="shared" si="2"/>
        <v>29.16567515618382</v>
      </c>
      <c r="Z8" s="36">
        <f t="shared" si="2"/>
        <v>31.549012455559083</v>
      </c>
      <c r="AA8" s="36">
        <f t="shared" si="2"/>
        <v>33.922816405736846</v>
      </c>
      <c r="AB8" s="36">
        <f t="shared" si="2"/>
        <v>36.287125140113901</v>
      </c>
      <c r="AC8" s="36">
        <f t="shared" si="2"/>
        <v>38.641976639553441</v>
      </c>
      <c r="AD8" s="36">
        <f t="shared" si="2"/>
        <v>40.987408732995235</v>
      </c>
      <c r="AE8" s="36">
        <f t="shared" si="2"/>
        <v>43.323459098063253</v>
      </c>
      <c r="AF8" s="36">
        <f t="shared" si="2"/>
        <v>45.650165261670992</v>
      </c>
      <c r="AG8" s="36">
        <f t="shared" si="2"/>
        <v>47.967564600624314</v>
      </c>
      <c r="AH8" s="36">
        <f t="shared" ref="AH8:BI8" si="3">AH56+AH57+AH58+AH59+AH60</f>
        <v>50.275694342221811</v>
      </c>
      <c r="AI8" s="36">
        <f t="shared" si="3"/>
        <v>52.574591564852923</v>
      </c>
      <c r="AJ8" s="36">
        <f t="shared" si="3"/>
        <v>54.864293198593515</v>
      </c>
      <c r="AK8" s="36">
        <f t="shared" si="3"/>
        <v>57.144836025799137</v>
      </c>
      <c r="AL8" s="36">
        <f t="shared" si="3"/>
        <v>57.749590015029277</v>
      </c>
      <c r="AM8" s="36">
        <f t="shared" si="3"/>
        <v>58.351924988302493</v>
      </c>
      <c r="AN8" s="36">
        <f t="shared" si="3"/>
        <v>58.95185062168261</v>
      </c>
      <c r="AO8" s="36">
        <f t="shared" si="3"/>
        <v>59.549376552529225</v>
      </c>
      <c r="AP8" s="36">
        <f t="shared" si="3"/>
        <v>60.14451237965244</v>
      </c>
      <c r="AQ8" s="36">
        <f t="shared" si="3"/>
        <v>60.737267663467165</v>
      </c>
      <c r="AR8" s="36">
        <f t="shared" si="3"/>
        <v>61.327651926146622</v>
      </c>
      <c r="AS8" s="36">
        <f t="shared" si="3"/>
        <v>61.915674651775369</v>
      </c>
      <c r="AT8" s="36">
        <f t="shared" si="3"/>
        <v>62.501345286501603</v>
      </c>
      <c r="AU8" s="36">
        <f t="shared" si="3"/>
        <v>63.084673238688922</v>
      </c>
      <c r="AV8" s="36">
        <f t="shared" si="3"/>
        <v>63.665667879067499</v>
      </c>
      <c r="AW8" s="36">
        <f t="shared" si="3"/>
        <v>64.244338540884556</v>
      </c>
      <c r="AX8" s="36">
        <f t="shared" si="3"/>
        <v>64.404027853387703</v>
      </c>
      <c r="AY8" s="36">
        <f t="shared" si="3"/>
        <v>64.563078408640806</v>
      </c>
      <c r="AZ8" s="36">
        <f t="shared" si="3"/>
        <v>64.721492761672906</v>
      </c>
      <c r="BA8" s="36">
        <f t="shared" si="3"/>
        <v>64.879273457292882</v>
      </c>
      <c r="BB8" s="36">
        <f t="shared" si="3"/>
        <v>65.036423030130379</v>
      </c>
      <c r="BC8" s="36">
        <f t="shared" si="3"/>
        <v>65.192944004676519</v>
      </c>
      <c r="BD8" s="36">
        <f t="shared" si="3"/>
        <v>65.348838895324491</v>
      </c>
      <c r="BE8" s="36">
        <f t="shared" si="3"/>
        <v>65.504110206409862</v>
      </c>
      <c r="BF8" s="36">
        <f t="shared" si="3"/>
        <v>65.658760432250887</v>
      </c>
      <c r="BG8" s="36">
        <f t="shared" si="3"/>
        <v>65.812792057188545</v>
      </c>
      <c r="BH8" s="36">
        <f t="shared" si="3"/>
        <v>65.966207555626454</v>
      </c>
      <c r="BI8" s="36">
        <f t="shared" si="3"/>
        <v>66.119009392070623</v>
      </c>
    </row>
    <row r="9" spans="1:61" x14ac:dyDescent="0.25">
      <c r="A9" s="35" t="s">
        <v>148</v>
      </c>
      <c r="B9" s="36">
        <f t="shared" ref="B9:AG9" si="4">B61+B62+B63+B64+B65</f>
        <v>0</v>
      </c>
      <c r="C9" s="36">
        <f t="shared" si="4"/>
        <v>0</v>
      </c>
      <c r="D9" s="36">
        <f t="shared" si="4"/>
        <v>0</v>
      </c>
      <c r="E9" s="36">
        <f t="shared" si="4"/>
        <v>0</v>
      </c>
      <c r="F9" s="36">
        <f t="shared" si="4"/>
        <v>0</v>
      </c>
      <c r="G9" s="36">
        <f t="shared" si="4"/>
        <v>0.14285714285714285</v>
      </c>
      <c r="H9" s="36">
        <f t="shared" si="4"/>
        <v>0.28542857142857142</v>
      </c>
      <c r="I9" s="36">
        <f t="shared" si="4"/>
        <v>0.42771485714285712</v>
      </c>
      <c r="J9" s="36">
        <f t="shared" si="4"/>
        <v>0.56971657028571432</v>
      </c>
      <c r="K9" s="36">
        <f t="shared" si="4"/>
        <v>0.7114342800022857</v>
      </c>
      <c r="L9" s="36">
        <f t="shared" si="4"/>
        <v>0.85286855429942388</v>
      </c>
      <c r="M9" s="36">
        <f t="shared" si="4"/>
        <v>0.99401996004796778</v>
      </c>
      <c r="N9" s="36">
        <f t="shared" si="4"/>
        <v>1.242031920127872</v>
      </c>
      <c r="O9" s="36">
        <f t="shared" si="4"/>
        <v>1.4895478562876161</v>
      </c>
      <c r="P9" s="36">
        <f t="shared" si="4"/>
        <v>1.7365687605750408</v>
      </c>
      <c r="Q9" s="36">
        <f t="shared" si="4"/>
        <v>1.9830956230538908</v>
      </c>
      <c r="R9" s="36">
        <f t="shared" si="4"/>
        <v>2.2291294318077832</v>
      </c>
      <c r="S9" s="36">
        <f t="shared" si="4"/>
        <v>2.4746711729441677</v>
      </c>
      <c r="T9" s="36">
        <f t="shared" si="4"/>
        <v>2.7197218305982793</v>
      </c>
      <c r="U9" s="36">
        <f t="shared" si="4"/>
        <v>2.9642823869370827</v>
      </c>
      <c r="V9" s="36">
        <f t="shared" si="4"/>
        <v>3.2083538221632084</v>
      </c>
      <c r="W9" s="36">
        <f t="shared" si="4"/>
        <v>3.4519371145188824</v>
      </c>
      <c r="X9" s="36">
        <f t="shared" si="4"/>
        <v>3.6950332402898445</v>
      </c>
      <c r="Y9" s="36">
        <f t="shared" si="4"/>
        <v>3.9376431738092648</v>
      </c>
      <c r="Z9" s="36">
        <f t="shared" si="4"/>
        <v>4.1797678874616464</v>
      </c>
      <c r="AA9" s="36">
        <f t="shared" si="4"/>
        <v>4.4214083516867229</v>
      </c>
      <c r="AB9" s="36">
        <f t="shared" si="4"/>
        <v>4.662565534983349</v>
      </c>
      <c r="AC9" s="36">
        <f t="shared" si="4"/>
        <v>4.9032404039133821</v>
      </c>
      <c r="AD9" s="36">
        <f t="shared" si="4"/>
        <v>5.1434339231055555</v>
      </c>
      <c r="AE9" s="36">
        <f t="shared" si="4"/>
        <v>5.3831470552593448</v>
      </c>
      <c r="AF9" s="36">
        <f t="shared" si="4"/>
        <v>5.6223807611488255</v>
      </c>
      <c r="AG9" s="36">
        <f t="shared" si="4"/>
        <v>5.8611359996265282</v>
      </c>
      <c r="AH9" s="36">
        <f t="shared" ref="AH9:BI9" si="5">AH61+AH62+AH63+AH64+AH65</f>
        <v>6.0994137276272742</v>
      </c>
      <c r="AI9" s="36">
        <f t="shared" si="5"/>
        <v>6.3372149001720199</v>
      </c>
      <c r="AJ9" s="36">
        <f t="shared" si="5"/>
        <v>6.5745404703716765</v>
      </c>
      <c r="AK9" s="36">
        <f t="shared" si="5"/>
        <v>6.8113913894309324</v>
      </c>
      <c r="AL9" s="36">
        <f t="shared" si="5"/>
        <v>6.9644352733187374</v>
      </c>
      <c r="AM9" s="36">
        <f t="shared" si="5"/>
        <v>7.1171730694387669</v>
      </c>
      <c r="AN9" s="36">
        <f t="shared" si="5"/>
        <v>7.2696053899665554</v>
      </c>
      <c r="AO9" s="36">
        <f t="shared" si="5"/>
        <v>7.4217328458532892</v>
      </c>
      <c r="AP9" s="36">
        <f t="shared" si="5"/>
        <v>7.5735560468282497</v>
      </c>
      <c r="AQ9" s="36">
        <f t="shared" si="5"/>
        <v>7.7250756014012589</v>
      </c>
      <c r="AR9" s="36">
        <f t="shared" si="5"/>
        <v>7.8762921168651232</v>
      </c>
      <c r="AS9" s="36">
        <f t="shared" si="5"/>
        <v>8.0272061992980603</v>
      </c>
      <c r="AT9" s="36">
        <f t="shared" si="5"/>
        <v>8.1778184535661307</v>
      </c>
      <c r="AU9" s="36">
        <f t="shared" si="5"/>
        <v>8.3281294833256645</v>
      </c>
      <c r="AV9" s="36">
        <f t="shared" si="5"/>
        <v>8.4781398910256787</v>
      </c>
      <c r="AW9" s="36">
        <f t="shared" si="5"/>
        <v>8.6278502779102944</v>
      </c>
      <c r="AX9" s="36">
        <f t="shared" si="5"/>
        <v>8.6939279106878082</v>
      </c>
      <c r="AY9" s="36">
        <f t="shared" si="5"/>
        <v>8.7598733881997646</v>
      </c>
      <c r="AZ9" s="36">
        <f t="shared" si="5"/>
        <v>8.8256869747566995</v>
      </c>
      <c r="BA9" s="36">
        <f t="shared" si="5"/>
        <v>8.8913689341405178</v>
      </c>
      <c r="BB9" s="36">
        <f t="shared" si="5"/>
        <v>8.956919529605571</v>
      </c>
      <c r="BC9" s="36">
        <f t="shared" si="5"/>
        <v>9.0223390238796934</v>
      </c>
      <c r="BD9" s="36">
        <f t="shared" si="5"/>
        <v>9.0876276791652675</v>
      </c>
      <c r="BE9" s="36">
        <f t="shared" si="5"/>
        <v>9.1527857571402702</v>
      </c>
      <c r="BF9" s="36">
        <f t="shared" si="5"/>
        <v>9.2178135189593213</v>
      </c>
      <c r="BG9" s="36">
        <f t="shared" si="5"/>
        <v>9.2827112252547366</v>
      </c>
      <c r="BH9" s="36">
        <f t="shared" si="5"/>
        <v>9.3474791361375615</v>
      </c>
      <c r="BI9" s="36">
        <f t="shared" si="5"/>
        <v>9.4121175111986197</v>
      </c>
    </row>
    <row r="10" spans="1:61" x14ac:dyDescent="0.25">
      <c r="A10" s="35" t="s">
        <v>149</v>
      </c>
      <c r="B10" s="37">
        <f>הנחות!B13</f>
        <v>1</v>
      </c>
      <c r="C10" s="37">
        <f>הנחות!B13</f>
        <v>1</v>
      </c>
      <c r="D10" s="37">
        <f>הנחות!B13</f>
        <v>1</v>
      </c>
      <c r="E10" s="37">
        <f>הנחות!B13</f>
        <v>1</v>
      </c>
      <c r="F10" s="37">
        <f>הנחות!B13</f>
        <v>1</v>
      </c>
      <c r="G10" s="37">
        <f>הנחות!B13</f>
        <v>1</v>
      </c>
      <c r="H10" s="37">
        <f>הנחות!B13</f>
        <v>1</v>
      </c>
      <c r="I10" s="37">
        <f>הנחות!B13</f>
        <v>1</v>
      </c>
      <c r="J10" s="37">
        <f>הנחות!B13</f>
        <v>1</v>
      </c>
      <c r="K10" s="37">
        <f>הנחות!B13</f>
        <v>1</v>
      </c>
      <c r="L10" s="37">
        <f>הנחות!B13</f>
        <v>1</v>
      </c>
      <c r="M10" s="37">
        <f>הנחות!B13</f>
        <v>1</v>
      </c>
      <c r="N10" s="37">
        <f>הנחות!B13</f>
        <v>1</v>
      </c>
      <c r="O10" s="37">
        <f>הנחות!B13</f>
        <v>1</v>
      </c>
      <c r="P10" s="37">
        <f>הנחות!B13</f>
        <v>1</v>
      </c>
      <c r="Q10" s="37">
        <f>הנחות!B13</f>
        <v>1</v>
      </c>
      <c r="R10" s="37">
        <f>הנחות!B13</f>
        <v>1</v>
      </c>
      <c r="S10" s="37">
        <f>הנחות!B13</f>
        <v>1</v>
      </c>
      <c r="T10" s="37">
        <f>הנחות!B13</f>
        <v>1</v>
      </c>
      <c r="U10" s="37">
        <f>הנחות!B13</f>
        <v>1</v>
      </c>
      <c r="V10" s="37">
        <f>הנחות!B13</f>
        <v>1</v>
      </c>
      <c r="W10" s="37">
        <f>הנחות!B13</f>
        <v>1</v>
      </c>
      <c r="X10" s="37">
        <f>הנחות!B13</f>
        <v>1</v>
      </c>
      <c r="Y10" s="37">
        <f>הנחות!B13</f>
        <v>1</v>
      </c>
      <c r="Z10" s="37">
        <f>הנחות!B13</f>
        <v>1</v>
      </c>
      <c r="AA10" s="37">
        <f>הנחות!B13</f>
        <v>1</v>
      </c>
      <c r="AB10" s="37">
        <f>הנחות!B13</f>
        <v>1</v>
      </c>
      <c r="AC10" s="37">
        <f>הנחות!B13</f>
        <v>1</v>
      </c>
      <c r="AD10" s="37">
        <f>הנחות!B13</f>
        <v>1</v>
      </c>
      <c r="AE10" s="37">
        <f>הנחות!B13</f>
        <v>1</v>
      </c>
      <c r="AF10" s="37">
        <f>הנחות!B13</f>
        <v>1</v>
      </c>
      <c r="AG10" s="37">
        <f>הנחות!B13</f>
        <v>1</v>
      </c>
      <c r="AH10" s="37">
        <f>הנחות!B13</f>
        <v>1</v>
      </c>
      <c r="AI10" s="37">
        <f>הנחות!B13</f>
        <v>1</v>
      </c>
      <c r="AJ10" s="37">
        <f>הנחות!B13</f>
        <v>1</v>
      </c>
      <c r="AK10" s="37">
        <f>הנחות!B13</f>
        <v>1</v>
      </c>
      <c r="AL10" s="37">
        <f>הנחות!B13</f>
        <v>1</v>
      </c>
      <c r="AM10" s="37">
        <f>הנחות!B13</f>
        <v>1</v>
      </c>
      <c r="AN10" s="37">
        <f>הנחות!B13</f>
        <v>1</v>
      </c>
      <c r="AO10" s="37">
        <f>הנחות!B13</f>
        <v>1</v>
      </c>
      <c r="AP10" s="37">
        <f>הנחות!B13</f>
        <v>1</v>
      </c>
      <c r="AQ10" s="37">
        <f>הנחות!B13</f>
        <v>1</v>
      </c>
      <c r="AR10" s="37">
        <f>הנחות!B13</f>
        <v>1</v>
      </c>
      <c r="AS10" s="37">
        <f>הנחות!B13</f>
        <v>1</v>
      </c>
      <c r="AT10" s="37">
        <f>הנחות!B13</f>
        <v>1</v>
      </c>
      <c r="AU10" s="37">
        <f>הנחות!B13</f>
        <v>1</v>
      </c>
      <c r="AV10" s="37">
        <f>הנחות!B13</f>
        <v>1</v>
      </c>
      <c r="AW10" s="37">
        <f>הנחות!B13</f>
        <v>1</v>
      </c>
      <c r="AX10" s="37">
        <f>הנחות!B13</f>
        <v>1</v>
      </c>
      <c r="AY10" s="37">
        <f>הנחות!B13</f>
        <v>1</v>
      </c>
      <c r="AZ10" s="37">
        <f>הנחות!B13</f>
        <v>1</v>
      </c>
      <c r="BA10" s="37">
        <f>הנחות!B13</f>
        <v>1</v>
      </c>
      <c r="BB10" s="37">
        <f>הנחות!B13</f>
        <v>1</v>
      </c>
      <c r="BC10" s="37">
        <f>הנחות!B13</f>
        <v>1</v>
      </c>
      <c r="BD10" s="37">
        <f>הנחות!B13</f>
        <v>1</v>
      </c>
      <c r="BE10" s="37">
        <f>הנחות!B13</f>
        <v>1</v>
      </c>
      <c r="BF10" s="37">
        <f>הנחות!B13</f>
        <v>1</v>
      </c>
      <c r="BG10" s="37">
        <f>הנחות!B13</f>
        <v>1</v>
      </c>
      <c r="BH10" s="37">
        <f>הנחות!B13</f>
        <v>1</v>
      </c>
      <c r="BI10" s="37">
        <f>הנחות!B13</f>
        <v>1</v>
      </c>
    </row>
    <row r="11" spans="1:61" x14ac:dyDescent="0.25">
      <c r="A11" s="27" t="s">
        <v>150</v>
      </c>
      <c r="B11" s="28">
        <f t="shared" ref="B11:AG11" si="6">B7+B8+B9+B10</f>
        <v>1</v>
      </c>
      <c r="C11" s="28">
        <f t="shared" si="6"/>
        <v>1</v>
      </c>
      <c r="D11" s="28">
        <f t="shared" si="6"/>
        <v>1</v>
      </c>
      <c r="E11" s="28">
        <f t="shared" si="6"/>
        <v>1</v>
      </c>
      <c r="F11" s="28">
        <f t="shared" si="6"/>
        <v>1</v>
      </c>
      <c r="G11" s="28">
        <f t="shared" si="6"/>
        <v>2.5714285714285712</v>
      </c>
      <c r="H11" s="28">
        <f t="shared" si="6"/>
        <v>4.1340000000000003</v>
      </c>
      <c r="I11" s="28">
        <f t="shared" si="6"/>
        <v>5.6877719999999998</v>
      </c>
      <c r="J11" s="28">
        <f t="shared" si="6"/>
        <v>7.2328018731428569</v>
      </c>
      <c r="K11" s="28">
        <f t="shared" si="6"/>
        <v>8.7691465116822869</v>
      </c>
      <c r="L11" s="28">
        <f t="shared" si="6"/>
        <v>10.296862401498142</v>
      </c>
      <c r="M11" s="28">
        <f t="shared" si="6"/>
        <v>11.8160056251592</v>
      </c>
      <c r="N11" s="28">
        <f t="shared" si="6"/>
        <v>15.755203293533553</v>
      </c>
      <c r="O11" s="28">
        <f t="shared" si="6"/>
        <v>19.672629739280261</v>
      </c>
      <c r="P11" s="28">
        <f t="shared" si="6"/>
        <v>23.568423138888996</v>
      </c>
      <c r="Q11" s="28">
        <f t="shared" si="6"/>
        <v>27.442720701458374</v>
      </c>
      <c r="R11" s="28">
        <f t="shared" si="6"/>
        <v>31.295658675894934</v>
      </c>
      <c r="S11" s="28">
        <f t="shared" si="6"/>
        <v>35.127372358056618</v>
      </c>
      <c r="T11" s="28">
        <f t="shared" si="6"/>
        <v>38.937996097841257</v>
      </c>
      <c r="U11" s="28">
        <f t="shared" si="6"/>
        <v>42.727663306220421</v>
      </c>
      <c r="V11" s="28">
        <f t="shared" si="6"/>
        <v>46.496506462219209</v>
      </c>
      <c r="W11" s="28">
        <f t="shared" si="6"/>
        <v>50.244657119842188</v>
      </c>
      <c r="X11" s="28">
        <f t="shared" si="6"/>
        <v>53.9722459149461</v>
      </c>
      <c r="Y11" s="28">
        <f t="shared" si="6"/>
        <v>57.67940257205963</v>
      </c>
      <c r="Z11" s="28">
        <f t="shared" si="6"/>
        <v>61.782922577817409</v>
      </c>
      <c r="AA11" s="28">
        <f t="shared" si="6"/>
        <v>65.864600521008541</v>
      </c>
      <c r="AB11" s="28">
        <f t="shared" si="6"/>
        <v>69.924570099240213</v>
      </c>
      <c r="AC11" s="28">
        <f t="shared" si="6"/>
        <v>73.962964098883319</v>
      </c>
      <c r="AD11" s="28">
        <f t="shared" si="6"/>
        <v>77.979914401740615</v>
      </c>
      <c r="AE11" s="28">
        <f t="shared" si="6"/>
        <v>81.975551991663963</v>
      </c>
      <c r="AF11" s="28">
        <f t="shared" si="6"/>
        <v>85.950006961121119</v>
      </c>
      <c r="AG11" s="28">
        <f t="shared" si="6"/>
        <v>89.903408517712393</v>
      </c>
      <c r="AH11" s="28">
        <f t="shared" ref="AH11:BI11" si="7">AH7+AH8+AH9+AH10</f>
        <v>93.835884990637624</v>
      </c>
      <c r="AI11" s="28">
        <f t="shared" si="7"/>
        <v>97.747563837113816</v>
      </c>
      <c r="AJ11" s="28">
        <f t="shared" si="7"/>
        <v>101.63857164874402</v>
      </c>
      <c r="AK11" s="28">
        <f t="shared" si="7"/>
        <v>105.50903415783735</v>
      </c>
      <c r="AL11" s="28">
        <f t="shared" si="7"/>
        <v>115.94240957701444</v>
      </c>
      <c r="AM11" s="28">
        <f t="shared" si="7"/>
        <v>126.29565527209834</v>
      </c>
      <c r="AN11" s="28">
        <f t="shared" si="7"/>
        <v>136.56940076829139</v>
      </c>
      <c r="AO11" s="28">
        <f t="shared" si="7"/>
        <v>146.76427059697158</v>
      </c>
      <c r="AP11" s="28">
        <f t="shared" si="7"/>
        <v>156.88088433548106</v>
      </c>
      <c r="AQ11" s="28">
        <f t="shared" si="7"/>
        <v>166.91985664659683</v>
      </c>
      <c r="AR11" s="28">
        <f t="shared" si="7"/>
        <v>176.88179731768631</v>
      </c>
      <c r="AS11" s="28">
        <f t="shared" si="7"/>
        <v>186.76731129955058</v>
      </c>
      <c r="AT11" s="28">
        <f t="shared" si="7"/>
        <v>196.57699874495705</v>
      </c>
      <c r="AU11" s="28">
        <f t="shared" si="7"/>
        <v>206.31145504686481</v>
      </c>
      <c r="AV11" s="28">
        <f t="shared" si="7"/>
        <v>215.97127087634456</v>
      </c>
      <c r="AW11" s="28">
        <f t="shared" si="7"/>
        <v>225.55703222019622</v>
      </c>
      <c r="AX11" s="28">
        <f t="shared" si="7"/>
        <v>234.56932041826573</v>
      </c>
      <c r="AY11" s="28">
        <f t="shared" si="7"/>
        <v>243.51054553379726</v>
      </c>
      <c r="AZ11" s="28">
        <f t="shared" si="7"/>
        <v>252.38127272349061</v>
      </c>
      <c r="BA11" s="28">
        <f t="shared" si="7"/>
        <v>261.18206263459797</v>
      </c>
      <c r="BB11" s="28">
        <f t="shared" si="7"/>
        <v>269.91347144095516</v>
      </c>
      <c r="BC11" s="28">
        <f t="shared" si="7"/>
        <v>278.57605087872565</v>
      </c>
      <c r="BD11" s="28">
        <f t="shared" si="7"/>
        <v>287.17034828185785</v>
      </c>
      <c r="BE11" s="28">
        <f t="shared" si="7"/>
        <v>295.69690661725929</v>
      </c>
      <c r="BF11" s="28">
        <f t="shared" si="7"/>
        <v>304.15626451968961</v>
      </c>
      <c r="BG11" s="28">
        <f t="shared" si="7"/>
        <v>312.54895632637493</v>
      </c>
      <c r="BH11" s="28">
        <f t="shared" si="7"/>
        <v>320.87551211134422</v>
      </c>
      <c r="BI11" s="28">
        <f t="shared" si="7"/>
        <v>329.1364577194928</v>
      </c>
    </row>
    <row r="12" spans="1:61" x14ac:dyDescent="0.25">
      <c r="A12" s="27" t="s">
        <v>151</v>
      </c>
      <c r="B12" s="29">
        <f t="shared" ref="B12:AG12" si="8">B85+B86+B87+B88+B89+B90+B91+B92+B93+B94+B95+B96+B97+B98+B99+B100</f>
        <v>20000</v>
      </c>
      <c r="C12" s="29">
        <f t="shared" si="8"/>
        <v>20000</v>
      </c>
      <c r="D12" s="29">
        <f t="shared" si="8"/>
        <v>20000</v>
      </c>
      <c r="E12" s="29">
        <f t="shared" si="8"/>
        <v>20000</v>
      </c>
      <c r="F12" s="29">
        <f t="shared" si="8"/>
        <v>20000</v>
      </c>
      <c r="G12" s="29">
        <f t="shared" si="8"/>
        <v>26071.428571428572</v>
      </c>
      <c r="H12" s="29">
        <f t="shared" si="8"/>
        <v>32122.857142857145</v>
      </c>
      <c r="I12" s="29">
        <f t="shared" si="8"/>
        <v>38154.365714285712</v>
      </c>
      <c r="J12" s="29">
        <f t="shared" si="8"/>
        <v>44166.033897142857</v>
      </c>
      <c r="K12" s="29">
        <f t="shared" si="8"/>
        <v>52918.523709061046</v>
      </c>
      <c r="L12" s="29">
        <f t="shared" si="8"/>
        <v>62742.377132891328</v>
      </c>
      <c r="M12" s="29">
        <f t="shared" si="8"/>
        <v>73631.15260660465</v>
      </c>
      <c r="N12" s="29">
        <f t="shared" si="8"/>
        <v>91447.497372632177</v>
      </c>
      <c r="O12" s="29">
        <f t="shared" si="8"/>
        <v>109184.04004376837</v>
      </c>
      <c r="P12" s="29">
        <f t="shared" si="8"/>
        <v>126841.20283799901</v>
      </c>
      <c r="Q12" s="29">
        <f t="shared" si="8"/>
        <v>144419.40534275936</v>
      </c>
      <c r="R12" s="29">
        <f t="shared" si="8"/>
        <v>161919.06453375547</v>
      </c>
      <c r="S12" s="29">
        <f t="shared" si="8"/>
        <v>179340.5947936372</v>
      </c>
      <c r="T12" s="29">
        <f t="shared" si="8"/>
        <v>206407.35154725245</v>
      </c>
      <c r="U12" s="29">
        <f t="shared" si="8"/>
        <v>236129.27296788647</v>
      </c>
      <c r="V12" s="29">
        <f t="shared" si="8"/>
        <v>268489.94226054812</v>
      </c>
      <c r="W12" s="29">
        <f t="shared" si="8"/>
        <v>303473.04673437169</v>
      </c>
      <c r="X12" s="29">
        <f t="shared" si="8"/>
        <v>341062.37708764663</v>
      </c>
      <c r="Y12" s="29">
        <f t="shared" si="8"/>
        <v>381241.82669821527</v>
      </c>
      <c r="Z12" s="29">
        <f t="shared" si="8"/>
        <v>415818.3075858634</v>
      </c>
      <c r="AA12" s="29">
        <f t="shared" si="8"/>
        <v>450180.22193554917</v>
      </c>
      <c r="AB12" s="29">
        <f t="shared" si="8"/>
        <v>484328.94008420489</v>
      </c>
      <c r="AC12" s="29">
        <f t="shared" si="8"/>
        <v>518265.82285468245</v>
      </c>
      <c r="AD12" s="29">
        <f t="shared" si="8"/>
        <v>551992.22162814636</v>
      </c>
      <c r="AE12" s="29">
        <f t="shared" si="8"/>
        <v>585509.47841587663</v>
      </c>
      <c r="AF12" s="29">
        <f t="shared" si="8"/>
        <v>629886.75577936636</v>
      </c>
      <c r="AG12" s="29">
        <f t="shared" si="8"/>
        <v>677168.14969138184</v>
      </c>
      <c r="AH12" s="29">
        <f t="shared" ref="AH12:BI12" si="9">AH85+AH86+AH87+AH88+AH89+AH90+AH91+AH92+AH93+AH94+AH95+AH96+AH97+AH98+AH99+AH100</f>
        <v>727335.88219067769</v>
      </c>
      <c r="AI12" s="29">
        <f t="shared" si="9"/>
        <v>778955.32821678149</v>
      </c>
      <c r="AJ12" s="29">
        <f t="shared" si="9"/>
        <v>833436.66652993287</v>
      </c>
      <c r="AK12" s="29">
        <f t="shared" si="9"/>
        <v>890762.35219976096</v>
      </c>
      <c r="AL12" s="29">
        <f t="shared" si="9"/>
        <v>935543.42090031819</v>
      </c>
      <c r="AM12" s="29">
        <f t="shared" si="9"/>
        <v>979981.96041458391</v>
      </c>
      <c r="AN12" s="29">
        <f t="shared" si="9"/>
        <v>1024080.3539358362</v>
      </c>
      <c r="AO12" s="29">
        <f t="shared" si="9"/>
        <v>1065780.1942365246</v>
      </c>
      <c r="AP12" s="29">
        <f t="shared" si="9"/>
        <v>1107161.0900373512</v>
      </c>
      <c r="AQ12" s="29">
        <f t="shared" si="9"/>
        <v>1148225.2747934815</v>
      </c>
      <c r="AR12" s="29">
        <f t="shared" si="9"/>
        <v>1195304.4049073248</v>
      </c>
      <c r="AS12" s="29">
        <f t="shared" si="9"/>
        <v>1245178.61326398</v>
      </c>
      <c r="AT12" s="29">
        <f t="shared" si="9"/>
        <v>1297820.522963078</v>
      </c>
      <c r="AU12" s="29">
        <f t="shared" si="9"/>
        <v>1353203.0239464978</v>
      </c>
      <c r="AV12" s="29">
        <f t="shared" si="9"/>
        <v>1411299.2704357083</v>
      </c>
      <c r="AW12" s="29">
        <f t="shared" si="9"/>
        <v>1472082.6783932524</v>
      </c>
      <c r="AX12" s="29">
        <f t="shared" si="9"/>
        <v>1510639.2299746836</v>
      </c>
      <c r="AY12" s="29">
        <f t="shared" si="9"/>
        <v>1548796.7072379286</v>
      </c>
      <c r="AZ12" s="29">
        <f t="shared" si="9"/>
        <v>1586558.813516546</v>
      </c>
      <c r="BA12" s="29">
        <f t="shared" si="9"/>
        <v>1623929.2179941803</v>
      </c>
      <c r="BB12" s="29">
        <f t="shared" si="9"/>
        <v>1660911.556019797</v>
      </c>
      <c r="BC12" s="29">
        <f t="shared" si="9"/>
        <v>1697509.4294200314</v>
      </c>
      <c r="BD12" s="29">
        <f t="shared" si="9"/>
        <v>1738106.9544949853</v>
      </c>
      <c r="BE12" s="29">
        <f t="shared" si="9"/>
        <v>1780885.1650951637</v>
      </c>
      <c r="BF12" s="29">
        <f t="shared" si="9"/>
        <v>1825820.7844280098</v>
      </c>
      <c r="BG12" s="29">
        <f t="shared" si="9"/>
        <v>1872890.7725573096</v>
      </c>
      <c r="BH12" s="29">
        <f t="shared" si="9"/>
        <v>1922072.3240813522</v>
      </c>
      <c r="BI12" s="29">
        <f t="shared" si="9"/>
        <v>1973342.8658331728</v>
      </c>
    </row>
    <row r="13" spans="1:61" x14ac:dyDescent="0.25">
      <c r="A13" s="27" t="s">
        <v>152</v>
      </c>
      <c r="B13" s="29">
        <f t="shared" ref="B13:AG13" si="10">B12*12</f>
        <v>240000</v>
      </c>
      <c r="C13" s="29">
        <f t="shared" si="10"/>
        <v>240000</v>
      </c>
      <c r="D13" s="29">
        <f t="shared" si="10"/>
        <v>240000</v>
      </c>
      <c r="E13" s="29">
        <f t="shared" si="10"/>
        <v>240000</v>
      </c>
      <c r="F13" s="29">
        <f t="shared" si="10"/>
        <v>240000</v>
      </c>
      <c r="G13" s="29">
        <f t="shared" si="10"/>
        <v>312857.14285714284</v>
      </c>
      <c r="H13" s="29">
        <f t="shared" si="10"/>
        <v>385474.28571428574</v>
      </c>
      <c r="I13" s="29">
        <f t="shared" si="10"/>
        <v>457852.38857142854</v>
      </c>
      <c r="J13" s="29">
        <f t="shared" si="10"/>
        <v>529992.40676571429</v>
      </c>
      <c r="K13" s="29">
        <f t="shared" si="10"/>
        <v>635022.28450873261</v>
      </c>
      <c r="L13" s="29">
        <f t="shared" si="10"/>
        <v>752908.52559469594</v>
      </c>
      <c r="M13" s="29">
        <f t="shared" si="10"/>
        <v>883573.8312792558</v>
      </c>
      <c r="N13" s="29">
        <f t="shared" si="10"/>
        <v>1097369.9684715862</v>
      </c>
      <c r="O13" s="29">
        <f t="shared" si="10"/>
        <v>1310208.4805252205</v>
      </c>
      <c r="P13" s="29">
        <f t="shared" si="10"/>
        <v>1522094.4340559882</v>
      </c>
      <c r="Q13" s="29">
        <f t="shared" si="10"/>
        <v>1733032.8641131124</v>
      </c>
      <c r="R13" s="29">
        <f t="shared" si="10"/>
        <v>1943028.7744050657</v>
      </c>
      <c r="S13" s="29">
        <f t="shared" si="10"/>
        <v>2152087.1375236465</v>
      </c>
      <c r="T13" s="29">
        <f t="shared" si="10"/>
        <v>2476888.2185670296</v>
      </c>
      <c r="U13" s="29">
        <f t="shared" si="10"/>
        <v>2833551.2756146379</v>
      </c>
      <c r="V13" s="29">
        <f t="shared" si="10"/>
        <v>3221879.3071265775</v>
      </c>
      <c r="W13" s="29">
        <f t="shared" si="10"/>
        <v>3641676.5608124603</v>
      </c>
      <c r="X13" s="29">
        <f t="shared" si="10"/>
        <v>4092748.5250517596</v>
      </c>
      <c r="Y13" s="29">
        <f t="shared" si="10"/>
        <v>4574901.9203785835</v>
      </c>
      <c r="Z13" s="29">
        <f t="shared" si="10"/>
        <v>4989819.6910303608</v>
      </c>
      <c r="AA13" s="29">
        <f t="shared" si="10"/>
        <v>5402162.6632265896</v>
      </c>
      <c r="AB13" s="29">
        <f t="shared" si="10"/>
        <v>5811947.2810104582</v>
      </c>
      <c r="AC13" s="29">
        <f t="shared" si="10"/>
        <v>6219189.8742561899</v>
      </c>
      <c r="AD13" s="29">
        <f t="shared" si="10"/>
        <v>6623906.6595377568</v>
      </c>
      <c r="AE13" s="29">
        <f t="shared" si="10"/>
        <v>7026113.7409905195</v>
      </c>
      <c r="AF13" s="29">
        <f t="shared" si="10"/>
        <v>7558641.0693523958</v>
      </c>
      <c r="AG13" s="29">
        <f t="shared" si="10"/>
        <v>8126017.7962965816</v>
      </c>
      <c r="AH13" s="29">
        <f t="shared" ref="AH13:BI13" si="11">AH12*12</f>
        <v>8728030.5862881318</v>
      </c>
      <c r="AI13" s="29">
        <f t="shared" si="11"/>
        <v>9347463.9386013784</v>
      </c>
      <c r="AJ13" s="29">
        <f t="shared" si="11"/>
        <v>10001239.998359194</v>
      </c>
      <c r="AK13" s="29">
        <f t="shared" si="11"/>
        <v>10689148.226397131</v>
      </c>
      <c r="AL13" s="29">
        <f t="shared" si="11"/>
        <v>11226521.050803818</v>
      </c>
      <c r="AM13" s="29">
        <f t="shared" si="11"/>
        <v>11759783.524975007</v>
      </c>
      <c r="AN13" s="29">
        <f t="shared" si="11"/>
        <v>12288964.247230034</v>
      </c>
      <c r="AO13" s="29">
        <f t="shared" si="11"/>
        <v>12789362.330838297</v>
      </c>
      <c r="AP13" s="29">
        <f t="shared" si="11"/>
        <v>13285933.080448214</v>
      </c>
      <c r="AQ13" s="29">
        <f t="shared" si="11"/>
        <v>13778703.297521777</v>
      </c>
      <c r="AR13" s="29">
        <f t="shared" si="11"/>
        <v>14343652.858887898</v>
      </c>
      <c r="AS13" s="29">
        <f t="shared" si="11"/>
        <v>14942143.35916776</v>
      </c>
      <c r="AT13" s="29">
        <f t="shared" si="11"/>
        <v>15573846.275556937</v>
      </c>
      <c r="AU13" s="29">
        <f t="shared" si="11"/>
        <v>16238436.287357975</v>
      </c>
      <c r="AV13" s="29">
        <f t="shared" si="11"/>
        <v>16935591.245228499</v>
      </c>
      <c r="AW13" s="29">
        <f t="shared" si="11"/>
        <v>17664992.14071903</v>
      </c>
      <c r="AX13" s="29">
        <f t="shared" si="11"/>
        <v>18127670.759696204</v>
      </c>
      <c r="AY13" s="29">
        <f t="shared" si="11"/>
        <v>18585560.486855142</v>
      </c>
      <c r="AZ13" s="29">
        <f t="shared" si="11"/>
        <v>19038705.762198552</v>
      </c>
      <c r="BA13" s="29">
        <f t="shared" si="11"/>
        <v>19487150.615930162</v>
      </c>
      <c r="BB13" s="29">
        <f t="shared" si="11"/>
        <v>19930938.672237564</v>
      </c>
      <c r="BC13" s="29">
        <f t="shared" si="11"/>
        <v>20370113.153040376</v>
      </c>
      <c r="BD13" s="29">
        <f t="shared" si="11"/>
        <v>20857283.453939825</v>
      </c>
      <c r="BE13" s="29">
        <f t="shared" si="11"/>
        <v>21370621.981141966</v>
      </c>
      <c r="BF13" s="29">
        <f t="shared" si="11"/>
        <v>21909849.413136117</v>
      </c>
      <c r="BG13" s="29">
        <f t="shared" si="11"/>
        <v>22474689.270687714</v>
      </c>
      <c r="BH13" s="29">
        <f t="shared" si="11"/>
        <v>23064867.888976227</v>
      </c>
      <c r="BI13" s="29">
        <f t="shared" si="11"/>
        <v>23680114.389998075</v>
      </c>
    </row>
    <row r="15" spans="1:61" x14ac:dyDescent="0.25">
      <c r="A15" s="68" t="s">
        <v>153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</row>
    <row r="16" spans="1:61" x14ac:dyDescent="0.25">
      <c r="A16" s="27" t="s">
        <v>154</v>
      </c>
      <c r="B16" s="28">
        <f t="shared" ref="B16:AG16" si="12">SUM(B104:B115)</f>
        <v>2</v>
      </c>
      <c r="C16" s="28">
        <f t="shared" si="12"/>
        <v>3</v>
      </c>
      <c r="D16" s="28">
        <f t="shared" si="12"/>
        <v>3</v>
      </c>
      <c r="E16" s="28">
        <f t="shared" si="12"/>
        <v>3</v>
      </c>
      <c r="F16" s="28">
        <f t="shared" si="12"/>
        <v>3</v>
      </c>
      <c r="G16" s="28">
        <f t="shared" si="12"/>
        <v>3</v>
      </c>
      <c r="H16" s="28">
        <f t="shared" si="12"/>
        <v>3</v>
      </c>
      <c r="I16" s="28">
        <f t="shared" si="12"/>
        <v>3</v>
      </c>
      <c r="J16" s="28">
        <f t="shared" si="12"/>
        <v>3</v>
      </c>
      <c r="K16" s="28">
        <f t="shared" si="12"/>
        <v>3</v>
      </c>
      <c r="L16" s="28">
        <f t="shared" si="12"/>
        <v>3</v>
      </c>
      <c r="M16" s="28">
        <f t="shared" si="12"/>
        <v>6</v>
      </c>
      <c r="N16" s="28">
        <f t="shared" si="12"/>
        <v>6</v>
      </c>
      <c r="O16" s="28">
        <f t="shared" si="12"/>
        <v>7</v>
      </c>
      <c r="P16" s="28">
        <f t="shared" si="12"/>
        <v>7</v>
      </c>
      <c r="Q16" s="28">
        <f t="shared" si="12"/>
        <v>7</v>
      </c>
      <c r="R16" s="28">
        <f t="shared" si="12"/>
        <v>7</v>
      </c>
      <c r="S16" s="28">
        <f t="shared" si="12"/>
        <v>7</v>
      </c>
      <c r="T16" s="28">
        <f t="shared" si="12"/>
        <v>7</v>
      </c>
      <c r="U16" s="28">
        <f t="shared" si="12"/>
        <v>8</v>
      </c>
      <c r="V16" s="28">
        <f t="shared" si="12"/>
        <v>8</v>
      </c>
      <c r="W16" s="28">
        <f t="shared" si="12"/>
        <v>8</v>
      </c>
      <c r="X16" s="28">
        <f t="shared" si="12"/>
        <v>8</v>
      </c>
      <c r="Y16" s="28">
        <f t="shared" si="12"/>
        <v>8</v>
      </c>
      <c r="Z16" s="28">
        <f t="shared" si="12"/>
        <v>9</v>
      </c>
      <c r="AA16" s="28">
        <f t="shared" si="12"/>
        <v>9</v>
      </c>
      <c r="AB16" s="28">
        <f t="shared" si="12"/>
        <v>9</v>
      </c>
      <c r="AC16" s="28">
        <f t="shared" si="12"/>
        <v>9</v>
      </c>
      <c r="AD16" s="28">
        <f t="shared" si="12"/>
        <v>9</v>
      </c>
      <c r="AE16" s="28">
        <f t="shared" si="12"/>
        <v>9</v>
      </c>
      <c r="AF16" s="28">
        <f t="shared" si="12"/>
        <v>10</v>
      </c>
      <c r="AG16" s="28">
        <f t="shared" si="12"/>
        <v>10</v>
      </c>
      <c r="AH16" s="28">
        <f t="shared" ref="AH16:BI16" si="13">SUM(AH104:AH115)</f>
        <v>10</v>
      </c>
      <c r="AI16" s="28">
        <f t="shared" si="13"/>
        <v>10</v>
      </c>
      <c r="AJ16" s="28">
        <f t="shared" si="13"/>
        <v>12</v>
      </c>
      <c r="AK16" s="28">
        <f t="shared" si="13"/>
        <v>12</v>
      </c>
      <c r="AL16" s="28">
        <f t="shared" si="13"/>
        <v>12</v>
      </c>
      <c r="AM16" s="28">
        <f t="shared" si="13"/>
        <v>12</v>
      </c>
      <c r="AN16" s="28">
        <f t="shared" si="13"/>
        <v>12</v>
      </c>
      <c r="AO16" s="28">
        <f t="shared" si="13"/>
        <v>12</v>
      </c>
      <c r="AP16" s="28">
        <f t="shared" si="13"/>
        <v>12</v>
      </c>
      <c r="AQ16" s="28">
        <f t="shared" si="13"/>
        <v>12</v>
      </c>
      <c r="AR16" s="28">
        <f t="shared" si="13"/>
        <v>12</v>
      </c>
      <c r="AS16" s="28">
        <f t="shared" si="13"/>
        <v>12</v>
      </c>
      <c r="AT16" s="28">
        <f t="shared" si="13"/>
        <v>12</v>
      </c>
      <c r="AU16" s="28">
        <f t="shared" si="13"/>
        <v>12</v>
      </c>
      <c r="AV16" s="28">
        <f t="shared" si="13"/>
        <v>12</v>
      </c>
      <c r="AW16" s="28">
        <f t="shared" si="13"/>
        <v>12</v>
      </c>
      <c r="AX16" s="28">
        <f t="shared" si="13"/>
        <v>12</v>
      </c>
      <c r="AY16" s="28">
        <f t="shared" si="13"/>
        <v>12</v>
      </c>
      <c r="AZ16" s="28">
        <f t="shared" si="13"/>
        <v>12</v>
      </c>
      <c r="BA16" s="28">
        <f t="shared" si="13"/>
        <v>12</v>
      </c>
      <c r="BB16" s="28">
        <f t="shared" si="13"/>
        <v>12</v>
      </c>
      <c r="BC16" s="28">
        <f t="shared" si="13"/>
        <v>12</v>
      </c>
      <c r="BD16" s="28">
        <f t="shared" si="13"/>
        <v>12</v>
      </c>
      <c r="BE16" s="28">
        <f t="shared" si="13"/>
        <v>12</v>
      </c>
      <c r="BF16" s="28">
        <f t="shared" si="13"/>
        <v>12</v>
      </c>
      <c r="BG16" s="28">
        <f t="shared" si="13"/>
        <v>12</v>
      </c>
      <c r="BH16" s="28">
        <f t="shared" si="13"/>
        <v>12</v>
      </c>
      <c r="BI16" s="28">
        <f t="shared" si="13"/>
        <v>12</v>
      </c>
    </row>
    <row r="17" spans="1:61" x14ac:dyDescent="0.25">
      <c r="A17" s="27" t="s">
        <v>155</v>
      </c>
      <c r="B17" s="29">
        <f t="shared" ref="B17:AG17" si="14">SUM(B118:B129)</f>
        <v>88000</v>
      </c>
      <c r="C17" s="29">
        <f t="shared" si="14"/>
        <v>138000</v>
      </c>
      <c r="D17" s="29">
        <f t="shared" si="14"/>
        <v>138000</v>
      </c>
      <c r="E17" s="29">
        <f t="shared" si="14"/>
        <v>138000</v>
      </c>
      <c r="F17" s="29">
        <f t="shared" si="14"/>
        <v>138000</v>
      </c>
      <c r="G17" s="29">
        <f t="shared" si="14"/>
        <v>138000</v>
      </c>
      <c r="H17" s="29">
        <f t="shared" si="14"/>
        <v>138000</v>
      </c>
      <c r="I17" s="29">
        <f t="shared" si="14"/>
        <v>138000</v>
      </c>
      <c r="J17" s="29">
        <f t="shared" si="14"/>
        <v>138000</v>
      </c>
      <c r="K17" s="29">
        <f t="shared" si="14"/>
        <v>138000</v>
      </c>
      <c r="L17" s="29">
        <f t="shared" si="14"/>
        <v>138000</v>
      </c>
      <c r="M17" s="29">
        <f t="shared" si="14"/>
        <v>268000</v>
      </c>
      <c r="N17" s="29">
        <f t="shared" si="14"/>
        <v>274700</v>
      </c>
      <c r="O17" s="29">
        <f t="shared" si="14"/>
        <v>297250</v>
      </c>
      <c r="P17" s="29">
        <f t="shared" si="14"/>
        <v>297250</v>
      </c>
      <c r="Q17" s="29">
        <f t="shared" si="14"/>
        <v>297250</v>
      </c>
      <c r="R17" s="29">
        <f t="shared" si="14"/>
        <v>297250</v>
      </c>
      <c r="S17" s="29">
        <f t="shared" si="14"/>
        <v>297250</v>
      </c>
      <c r="T17" s="29">
        <f t="shared" si="14"/>
        <v>297250</v>
      </c>
      <c r="U17" s="29">
        <f t="shared" si="14"/>
        <v>330050</v>
      </c>
      <c r="V17" s="29">
        <f t="shared" si="14"/>
        <v>330050</v>
      </c>
      <c r="W17" s="29">
        <f t="shared" si="14"/>
        <v>330050</v>
      </c>
      <c r="X17" s="29">
        <f t="shared" si="14"/>
        <v>330050</v>
      </c>
      <c r="Y17" s="29">
        <f t="shared" si="14"/>
        <v>330050</v>
      </c>
      <c r="Z17" s="29">
        <f t="shared" si="14"/>
        <v>375073.125</v>
      </c>
      <c r="AA17" s="29">
        <f t="shared" si="14"/>
        <v>375073.125</v>
      </c>
      <c r="AB17" s="29">
        <f t="shared" si="14"/>
        <v>375073.125</v>
      </c>
      <c r="AC17" s="29">
        <f t="shared" si="14"/>
        <v>375073.125</v>
      </c>
      <c r="AD17" s="29">
        <f t="shared" si="14"/>
        <v>375073.125</v>
      </c>
      <c r="AE17" s="29">
        <f t="shared" si="14"/>
        <v>375073.125</v>
      </c>
      <c r="AF17" s="29">
        <f t="shared" si="14"/>
        <v>396085.625</v>
      </c>
      <c r="AG17" s="29">
        <f t="shared" si="14"/>
        <v>396085.625</v>
      </c>
      <c r="AH17" s="29">
        <f t="shared" ref="AH17:BI17" si="15">SUM(AH118:AH129)</f>
        <v>396085.625</v>
      </c>
      <c r="AI17" s="29">
        <f t="shared" si="15"/>
        <v>396085.625</v>
      </c>
      <c r="AJ17" s="29">
        <f t="shared" si="15"/>
        <v>474882.5</v>
      </c>
      <c r="AK17" s="29">
        <f t="shared" si="15"/>
        <v>474882.5</v>
      </c>
      <c r="AL17" s="29">
        <f t="shared" si="15"/>
        <v>486754.56249999994</v>
      </c>
      <c r="AM17" s="29">
        <f t="shared" si="15"/>
        <v>486754.56249999994</v>
      </c>
      <c r="AN17" s="29">
        <f t="shared" si="15"/>
        <v>486754.56249999994</v>
      </c>
      <c r="AO17" s="29">
        <f t="shared" si="15"/>
        <v>486754.56249999994</v>
      </c>
      <c r="AP17" s="29">
        <f t="shared" si="15"/>
        <v>486754.56249999994</v>
      </c>
      <c r="AQ17" s="29">
        <f t="shared" si="15"/>
        <v>486754.56249999994</v>
      </c>
      <c r="AR17" s="29">
        <f t="shared" si="15"/>
        <v>486754.56249999994</v>
      </c>
      <c r="AS17" s="29">
        <f t="shared" si="15"/>
        <v>486754.56249999994</v>
      </c>
      <c r="AT17" s="29">
        <f t="shared" si="15"/>
        <v>486754.56249999994</v>
      </c>
      <c r="AU17" s="29">
        <f t="shared" si="15"/>
        <v>486754.56249999994</v>
      </c>
      <c r="AV17" s="29">
        <f t="shared" si="15"/>
        <v>486754.56249999994</v>
      </c>
      <c r="AW17" s="29">
        <f t="shared" si="15"/>
        <v>486754.56249999994</v>
      </c>
      <c r="AX17" s="29">
        <f t="shared" si="15"/>
        <v>498923.42656249995</v>
      </c>
      <c r="AY17" s="29">
        <f t="shared" si="15"/>
        <v>498923.42656249995</v>
      </c>
      <c r="AZ17" s="29">
        <f t="shared" si="15"/>
        <v>498923.42656249995</v>
      </c>
      <c r="BA17" s="29">
        <f t="shared" si="15"/>
        <v>498923.42656249995</v>
      </c>
      <c r="BB17" s="29">
        <f t="shared" si="15"/>
        <v>498923.42656249995</v>
      </c>
      <c r="BC17" s="29">
        <f t="shared" si="15"/>
        <v>498923.42656249995</v>
      </c>
      <c r="BD17" s="29">
        <f t="shared" si="15"/>
        <v>498923.42656249995</v>
      </c>
      <c r="BE17" s="29">
        <f t="shared" si="15"/>
        <v>498923.42656249995</v>
      </c>
      <c r="BF17" s="29">
        <f t="shared" si="15"/>
        <v>498923.42656249995</v>
      </c>
      <c r="BG17" s="29">
        <f t="shared" si="15"/>
        <v>498923.42656249995</v>
      </c>
      <c r="BH17" s="29">
        <f t="shared" si="15"/>
        <v>498923.42656249995</v>
      </c>
      <c r="BI17" s="29">
        <f t="shared" si="15"/>
        <v>498923.42656249995</v>
      </c>
    </row>
    <row r="18" spans="1:61" x14ac:dyDescent="0.25">
      <c r="A18" s="27" t="s">
        <v>156</v>
      </c>
      <c r="B18" s="29">
        <f t="shared" ref="B18:AG18" si="16">SUM(B132:B144)</f>
        <v>51000</v>
      </c>
      <c r="C18" s="29">
        <f t="shared" si="16"/>
        <v>51000</v>
      </c>
      <c r="D18" s="29">
        <f t="shared" si="16"/>
        <v>51000</v>
      </c>
      <c r="E18" s="29">
        <f t="shared" si="16"/>
        <v>51000</v>
      </c>
      <c r="F18" s="29">
        <f t="shared" si="16"/>
        <v>51000</v>
      </c>
      <c r="G18" s="29">
        <f t="shared" si="16"/>
        <v>51000</v>
      </c>
      <c r="H18" s="29">
        <f t="shared" si="16"/>
        <v>51000</v>
      </c>
      <c r="I18" s="29">
        <f t="shared" si="16"/>
        <v>51000</v>
      </c>
      <c r="J18" s="29">
        <f t="shared" si="16"/>
        <v>51000</v>
      </c>
      <c r="K18" s="29">
        <f t="shared" si="16"/>
        <v>57000</v>
      </c>
      <c r="L18" s="29">
        <f t="shared" si="16"/>
        <v>57000</v>
      </c>
      <c r="M18" s="29">
        <f t="shared" si="16"/>
        <v>64500</v>
      </c>
      <c r="N18" s="29">
        <f t="shared" si="16"/>
        <v>72250</v>
      </c>
      <c r="O18" s="29">
        <f t="shared" si="16"/>
        <v>72250</v>
      </c>
      <c r="P18" s="29">
        <f t="shared" si="16"/>
        <v>72250</v>
      </c>
      <c r="Q18" s="29">
        <f t="shared" si="16"/>
        <v>72250</v>
      </c>
      <c r="R18" s="29">
        <f t="shared" si="16"/>
        <v>72250</v>
      </c>
      <c r="S18" s="29">
        <f t="shared" si="16"/>
        <v>72250</v>
      </c>
      <c r="T18" s="29">
        <f t="shared" si="16"/>
        <v>72250</v>
      </c>
      <c r="U18" s="29">
        <f t="shared" si="16"/>
        <v>72250</v>
      </c>
      <c r="V18" s="29">
        <f t="shared" si="16"/>
        <v>72250</v>
      </c>
      <c r="W18" s="29">
        <f t="shared" si="16"/>
        <v>72250</v>
      </c>
      <c r="X18" s="29">
        <f t="shared" si="16"/>
        <v>72250</v>
      </c>
      <c r="Y18" s="29">
        <f t="shared" si="16"/>
        <v>72250</v>
      </c>
      <c r="Z18" s="29">
        <f t="shared" si="16"/>
        <v>81165</v>
      </c>
      <c r="AA18" s="29">
        <f t="shared" si="16"/>
        <v>81165</v>
      </c>
      <c r="AB18" s="29">
        <f t="shared" si="16"/>
        <v>81165</v>
      </c>
      <c r="AC18" s="29">
        <f t="shared" si="16"/>
        <v>81165</v>
      </c>
      <c r="AD18" s="29">
        <f t="shared" si="16"/>
        <v>81165</v>
      </c>
      <c r="AE18" s="29">
        <f t="shared" si="16"/>
        <v>81165</v>
      </c>
      <c r="AF18" s="29">
        <f t="shared" si="16"/>
        <v>81165</v>
      </c>
      <c r="AG18" s="29">
        <f t="shared" si="16"/>
        <v>81165</v>
      </c>
      <c r="AH18" s="29">
        <f t="shared" ref="AH18:BI18" si="17">SUM(AH132:AH144)</f>
        <v>81165</v>
      </c>
      <c r="AI18" s="29">
        <f t="shared" si="17"/>
        <v>81165</v>
      </c>
      <c r="AJ18" s="29">
        <f t="shared" si="17"/>
        <v>81165</v>
      </c>
      <c r="AK18" s="29">
        <f t="shared" si="17"/>
        <v>81165</v>
      </c>
      <c r="AL18" s="29">
        <f t="shared" si="17"/>
        <v>91444</v>
      </c>
      <c r="AM18" s="29">
        <f t="shared" si="17"/>
        <v>91444</v>
      </c>
      <c r="AN18" s="29">
        <f t="shared" si="17"/>
        <v>91444</v>
      </c>
      <c r="AO18" s="29">
        <f t="shared" si="17"/>
        <v>91444</v>
      </c>
      <c r="AP18" s="29">
        <f t="shared" si="17"/>
        <v>91444</v>
      </c>
      <c r="AQ18" s="29">
        <f t="shared" si="17"/>
        <v>91444</v>
      </c>
      <c r="AR18" s="29">
        <f t="shared" si="17"/>
        <v>91444</v>
      </c>
      <c r="AS18" s="29">
        <f t="shared" si="17"/>
        <v>91444</v>
      </c>
      <c r="AT18" s="29">
        <f t="shared" si="17"/>
        <v>91444</v>
      </c>
      <c r="AU18" s="29">
        <f t="shared" si="17"/>
        <v>91444</v>
      </c>
      <c r="AV18" s="29">
        <f t="shared" si="17"/>
        <v>91444</v>
      </c>
      <c r="AW18" s="29">
        <f t="shared" si="17"/>
        <v>91444</v>
      </c>
      <c r="AX18" s="29">
        <f t="shared" si="17"/>
        <v>103322.32499999998</v>
      </c>
      <c r="AY18" s="29">
        <f t="shared" si="17"/>
        <v>103322.32499999998</v>
      </c>
      <c r="AZ18" s="29">
        <f t="shared" si="17"/>
        <v>103322.32499999998</v>
      </c>
      <c r="BA18" s="29">
        <f t="shared" si="17"/>
        <v>103322.32499999998</v>
      </c>
      <c r="BB18" s="29">
        <f t="shared" si="17"/>
        <v>103322.32499999998</v>
      </c>
      <c r="BC18" s="29">
        <f t="shared" si="17"/>
        <v>103322.32499999998</v>
      </c>
      <c r="BD18" s="29">
        <f t="shared" si="17"/>
        <v>103322.32499999998</v>
      </c>
      <c r="BE18" s="29">
        <f t="shared" si="17"/>
        <v>103322.32499999998</v>
      </c>
      <c r="BF18" s="29">
        <f t="shared" si="17"/>
        <v>103322.32499999998</v>
      </c>
      <c r="BG18" s="29">
        <f t="shared" si="17"/>
        <v>103322.32499999998</v>
      </c>
      <c r="BH18" s="29">
        <f t="shared" si="17"/>
        <v>103322.32499999998</v>
      </c>
      <c r="BI18" s="29">
        <f t="shared" si="17"/>
        <v>103322.32499999998</v>
      </c>
    </row>
    <row r="19" spans="1:61" x14ac:dyDescent="0.25">
      <c r="A19" s="35" t="s">
        <v>157</v>
      </c>
      <c r="B19" s="38">
        <f>B12*(1-הנחות!B69)</f>
        <v>3000.0000000000005</v>
      </c>
      <c r="C19" s="38">
        <f>C12*(1-הנחות!B69)</f>
        <v>3000.0000000000005</v>
      </c>
      <c r="D19" s="38">
        <f>D12*(1-הנחות!B69)</f>
        <v>3000.0000000000005</v>
      </c>
      <c r="E19" s="38">
        <f>E12*(1-הנחות!B69)</f>
        <v>3000.0000000000005</v>
      </c>
      <c r="F19" s="38">
        <f>F12*(1-הנחות!B69)</f>
        <v>3000.0000000000005</v>
      </c>
      <c r="G19" s="38">
        <f>G12*(1-הנחות!B69)</f>
        <v>3910.7142857142862</v>
      </c>
      <c r="H19" s="38">
        <f>H12*(1-הנחות!B69)</f>
        <v>4818.4285714285725</v>
      </c>
      <c r="I19" s="38">
        <f>I12*(1-הנחות!B69)</f>
        <v>5723.1548571428575</v>
      </c>
      <c r="J19" s="38">
        <f>J12*(1-הנחות!B69)</f>
        <v>6624.9050845714291</v>
      </c>
      <c r="K19" s="38">
        <f>K12*(1-הנחות!B69)</f>
        <v>7937.7785563591578</v>
      </c>
      <c r="L19" s="38">
        <f>L12*(1-הנחות!B69)</f>
        <v>9411.3565699337014</v>
      </c>
      <c r="M19" s="38">
        <f>M12*(1-הנחות!B69)</f>
        <v>11044.6728909907</v>
      </c>
      <c r="N19" s="38">
        <f>N12*(1-הנחות!B69)</f>
        <v>13717.124605894829</v>
      </c>
      <c r="O19" s="38">
        <f>O12*(1-הנחות!B69)</f>
        <v>16377.606006565258</v>
      </c>
      <c r="P19" s="38">
        <f>P12*(1-הנחות!B69)</f>
        <v>19026.180425699855</v>
      </c>
      <c r="Q19" s="38">
        <f>Q12*(1-הנחות!B69)</f>
        <v>21662.910801413906</v>
      </c>
      <c r="R19" s="38">
        <f>R12*(1-הנחות!B69)</f>
        <v>24287.859680063324</v>
      </c>
      <c r="S19" s="38">
        <f>S12*(1-הנחות!B69)</f>
        <v>26901.089219045582</v>
      </c>
      <c r="T19" s="38">
        <f>T12*(1-הנחות!B69)</f>
        <v>30961.102732087871</v>
      </c>
      <c r="U19" s="38">
        <f>U12*(1-הנחות!B69)</f>
        <v>35419.390945182975</v>
      </c>
      <c r="V19" s="38">
        <f>V12*(1-הנחות!B69)</f>
        <v>40273.491339082226</v>
      </c>
      <c r="W19" s="38">
        <f>W12*(1-הנחות!B69)</f>
        <v>45520.957010155762</v>
      </c>
      <c r="X19" s="38">
        <f>X12*(1-הנחות!B69)</f>
        <v>51159.356563147005</v>
      </c>
      <c r="Y19" s="38">
        <f>Y12*(1-הנחות!B69)</f>
        <v>57186.274004732302</v>
      </c>
      <c r="Z19" s="38">
        <f>Z12*(1-הנחות!B69)</f>
        <v>62372.74613787952</v>
      </c>
      <c r="AA19" s="38">
        <f>AA12*(1-הנחות!B69)</f>
        <v>67527.033290332387</v>
      </c>
      <c r="AB19" s="38">
        <f>AB12*(1-הנחות!B69)</f>
        <v>72649.341012630743</v>
      </c>
      <c r="AC19" s="38">
        <f>AC12*(1-הנחות!B69)</f>
        <v>77739.87342820238</v>
      </c>
      <c r="AD19" s="38">
        <f>AD12*(1-הנחות!B69)</f>
        <v>82798.833244221969</v>
      </c>
      <c r="AE19" s="38">
        <f>AE12*(1-הנחות!B69)</f>
        <v>87826.421762381506</v>
      </c>
      <c r="AF19" s="38">
        <f>AF12*(1-הנחות!B69)</f>
        <v>94483.013366904968</v>
      </c>
      <c r="AG19" s="38">
        <f>AG12*(1-הנחות!B69)</f>
        <v>101575.22245370729</v>
      </c>
      <c r="AH19" s="38">
        <f>AH12*(1-הנחות!B69)</f>
        <v>109100.38232860167</v>
      </c>
      <c r="AI19" s="38">
        <f>AI12*(1-הנחות!B69)</f>
        <v>116843.29923251724</v>
      </c>
      <c r="AJ19" s="38">
        <f>AJ12*(1-הנחות!B69)</f>
        <v>125015.49997948995</v>
      </c>
      <c r="AK19" s="38">
        <f>AK12*(1-הנחות!B69)</f>
        <v>133614.35282996416</v>
      </c>
      <c r="AL19" s="38">
        <f>AL12*(1-הנחות!B69)</f>
        <v>140331.51313504775</v>
      </c>
      <c r="AM19" s="38">
        <f>AM12*(1-הנחות!B69)</f>
        <v>146997.2940621876</v>
      </c>
      <c r="AN19" s="38">
        <f>AN12*(1-הנחות!B69)</f>
        <v>153612.05309037547</v>
      </c>
      <c r="AO19" s="38">
        <f>AO12*(1-הנחות!B69)</f>
        <v>159867.02913547872</v>
      </c>
      <c r="AP19" s="38">
        <f>AP12*(1-הנחות!B69)</f>
        <v>166074.16350560272</v>
      </c>
      <c r="AQ19" s="38">
        <f>AQ12*(1-הנחות!B69)</f>
        <v>172233.79121902224</v>
      </c>
      <c r="AR19" s="38">
        <f>AR12*(1-הנחות!B69)</f>
        <v>179295.66073609874</v>
      </c>
      <c r="AS19" s="38">
        <f>AS12*(1-הנחות!B69)</f>
        <v>186776.79198959703</v>
      </c>
      <c r="AT19" s="38">
        <f>AT12*(1-הנחות!B69)</f>
        <v>194673.07844446172</v>
      </c>
      <c r="AU19" s="38">
        <f>AU12*(1-הנחות!B69)</f>
        <v>202980.45359197471</v>
      </c>
      <c r="AV19" s="38">
        <f>AV12*(1-הנחות!B69)</f>
        <v>211694.89056535627</v>
      </c>
      <c r="AW19" s="38">
        <f>AW12*(1-הנחות!B69)</f>
        <v>220812.40175898789</v>
      </c>
      <c r="AX19" s="38">
        <f>AX12*(1-הנחות!B69)</f>
        <v>226595.88449620258</v>
      </c>
      <c r="AY19" s="38">
        <f>AY12*(1-הנחות!B69)</f>
        <v>232319.50608568933</v>
      </c>
      <c r="AZ19" s="38">
        <f>AZ12*(1-הנחות!B69)</f>
        <v>237983.82202748195</v>
      </c>
      <c r="BA19" s="38">
        <f>BA12*(1-הנחות!B69)</f>
        <v>243589.38269912708</v>
      </c>
      <c r="BB19" s="38">
        <f>BB12*(1-הנחות!B69)</f>
        <v>249136.73340296958</v>
      </c>
      <c r="BC19" s="38">
        <f>BC12*(1-הנחות!B69)</f>
        <v>254626.41441300474</v>
      </c>
      <c r="BD19" s="38">
        <f>BD12*(1-הנחות!B69)</f>
        <v>260716.04317424784</v>
      </c>
      <c r="BE19" s="38">
        <f>BE12*(1-הנחות!B69)</f>
        <v>267132.7747642746</v>
      </c>
      <c r="BF19" s="38">
        <f>BF12*(1-הנחות!B69)</f>
        <v>273873.11766420148</v>
      </c>
      <c r="BG19" s="38">
        <f>BG12*(1-הנחות!B69)</f>
        <v>280933.61588359647</v>
      </c>
      <c r="BH19" s="38">
        <f>BH12*(1-הנחות!B69)</f>
        <v>288310.84861220286</v>
      </c>
      <c r="BI19" s="38">
        <f>BI12*(1-הנחות!B69)</f>
        <v>296001.42987497599</v>
      </c>
    </row>
    <row r="20" spans="1:61" x14ac:dyDescent="0.25">
      <c r="A20" s="27" t="s">
        <v>158</v>
      </c>
      <c r="B20" s="29">
        <f t="shared" ref="B20:AG20" si="18">B17+B18+B19</f>
        <v>142000</v>
      </c>
      <c r="C20" s="29">
        <f t="shared" si="18"/>
        <v>192000</v>
      </c>
      <c r="D20" s="29">
        <f t="shared" si="18"/>
        <v>192000</v>
      </c>
      <c r="E20" s="29">
        <f t="shared" si="18"/>
        <v>192000</v>
      </c>
      <c r="F20" s="29">
        <f t="shared" si="18"/>
        <v>192000</v>
      </c>
      <c r="G20" s="29">
        <f t="shared" si="18"/>
        <v>192910.71428571429</v>
      </c>
      <c r="H20" s="29">
        <f t="shared" si="18"/>
        <v>193818.42857142858</v>
      </c>
      <c r="I20" s="29">
        <f t="shared" si="18"/>
        <v>194723.15485714286</v>
      </c>
      <c r="J20" s="29">
        <f t="shared" si="18"/>
        <v>195624.90508457142</v>
      </c>
      <c r="K20" s="29">
        <f t="shared" si="18"/>
        <v>202937.77855635915</v>
      </c>
      <c r="L20" s="29">
        <f t="shared" si="18"/>
        <v>204411.35656993371</v>
      </c>
      <c r="M20" s="29">
        <f t="shared" si="18"/>
        <v>343544.67289099068</v>
      </c>
      <c r="N20" s="29">
        <f t="shared" si="18"/>
        <v>360667.12460589485</v>
      </c>
      <c r="O20" s="29">
        <f t="shared" si="18"/>
        <v>385877.60600656527</v>
      </c>
      <c r="P20" s="29">
        <f t="shared" si="18"/>
        <v>388526.18042569986</v>
      </c>
      <c r="Q20" s="29">
        <f t="shared" si="18"/>
        <v>391162.91080141393</v>
      </c>
      <c r="R20" s="29">
        <f t="shared" si="18"/>
        <v>393787.85968006332</v>
      </c>
      <c r="S20" s="29">
        <f t="shared" si="18"/>
        <v>396401.08921904559</v>
      </c>
      <c r="T20" s="29">
        <f t="shared" si="18"/>
        <v>400461.10273208789</v>
      </c>
      <c r="U20" s="29">
        <f t="shared" si="18"/>
        <v>437719.390945183</v>
      </c>
      <c r="V20" s="29">
        <f t="shared" si="18"/>
        <v>442573.49133908225</v>
      </c>
      <c r="W20" s="29">
        <f t="shared" si="18"/>
        <v>447820.95701015578</v>
      </c>
      <c r="X20" s="29">
        <f t="shared" si="18"/>
        <v>453459.35656314698</v>
      </c>
      <c r="Y20" s="29">
        <f t="shared" si="18"/>
        <v>459486.27400473232</v>
      </c>
      <c r="Z20" s="29">
        <f t="shared" si="18"/>
        <v>518610.8711378795</v>
      </c>
      <c r="AA20" s="29">
        <f t="shared" si="18"/>
        <v>523765.15829033242</v>
      </c>
      <c r="AB20" s="29">
        <f t="shared" si="18"/>
        <v>528887.46601263073</v>
      </c>
      <c r="AC20" s="29">
        <f t="shared" si="18"/>
        <v>533977.99842820235</v>
      </c>
      <c r="AD20" s="29">
        <f t="shared" si="18"/>
        <v>539036.95824422198</v>
      </c>
      <c r="AE20" s="29">
        <f t="shared" si="18"/>
        <v>544064.54676238145</v>
      </c>
      <c r="AF20" s="29">
        <f t="shared" si="18"/>
        <v>571733.63836690492</v>
      </c>
      <c r="AG20" s="29">
        <f t="shared" si="18"/>
        <v>578825.84745370725</v>
      </c>
      <c r="AH20" s="29">
        <f t="shared" ref="AH20:BI20" si="19">AH17+AH18+AH19</f>
        <v>586351.00732860167</v>
      </c>
      <c r="AI20" s="29">
        <f t="shared" si="19"/>
        <v>594093.92423251725</v>
      </c>
      <c r="AJ20" s="29">
        <f t="shared" si="19"/>
        <v>681062.99997948995</v>
      </c>
      <c r="AK20" s="29">
        <f t="shared" si="19"/>
        <v>689661.85282996413</v>
      </c>
      <c r="AL20" s="29">
        <f t="shared" si="19"/>
        <v>718530.07563504775</v>
      </c>
      <c r="AM20" s="29">
        <f t="shared" si="19"/>
        <v>725195.85656218766</v>
      </c>
      <c r="AN20" s="29">
        <f t="shared" si="19"/>
        <v>731810.6155903755</v>
      </c>
      <c r="AO20" s="29">
        <f t="shared" si="19"/>
        <v>738065.59163547866</v>
      </c>
      <c r="AP20" s="29">
        <f t="shared" si="19"/>
        <v>744272.72600560274</v>
      </c>
      <c r="AQ20" s="29">
        <f t="shared" si="19"/>
        <v>750432.35371902224</v>
      </c>
      <c r="AR20" s="29">
        <f t="shared" si="19"/>
        <v>757494.22323609877</v>
      </c>
      <c r="AS20" s="29">
        <f t="shared" si="19"/>
        <v>764975.35448959703</v>
      </c>
      <c r="AT20" s="29">
        <f t="shared" si="19"/>
        <v>772871.64094446169</v>
      </c>
      <c r="AU20" s="29">
        <f t="shared" si="19"/>
        <v>781179.01609197468</v>
      </c>
      <c r="AV20" s="29">
        <f t="shared" si="19"/>
        <v>789893.45306535624</v>
      </c>
      <c r="AW20" s="29">
        <f t="shared" si="19"/>
        <v>799010.96425898792</v>
      </c>
      <c r="AX20" s="29">
        <f t="shared" si="19"/>
        <v>828841.63605870248</v>
      </c>
      <c r="AY20" s="29">
        <f t="shared" si="19"/>
        <v>834565.2576481892</v>
      </c>
      <c r="AZ20" s="29">
        <f t="shared" si="19"/>
        <v>840229.57358998188</v>
      </c>
      <c r="BA20" s="29">
        <f t="shared" si="19"/>
        <v>845835.13426162698</v>
      </c>
      <c r="BB20" s="29">
        <f t="shared" si="19"/>
        <v>851382.48496546946</v>
      </c>
      <c r="BC20" s="29">
        <f t="shared" si="19"/>
        <v>856872.16597550467</v>
      </c>
      <c r="BD20" s="29">
        <f t="shared" si="19"/>
        <v>862961.79473674775</v>
      </c>
      <c r="BE20" s="29">
        <f t="shared" si="19"/>
        <v>869378.5263267745</v>
      </c>
      <c r="BF20" s="29">
        <f t="shared" si="19"/>
        <v>876118.86922670132</v>
      </c>
      <c r="BG20" s="29">
        <f t="shared" si="19"/>
        <v>883179.36744609638</v>
      </c>
      <c r="BH20" s="29">
        <f t="shared" si="19"/>
        <v>890556.6001747027</v>
      </c>
      <c r="BI20" s="29">
        <f t="shared" si="19"/>
        <v>898247.18143747584</v>
      </c>
    </row>
    <row r="22" spans="1:61" x14ac:dyDescent="0.25">
      <c r="A22" s="68" t="s">
        <v>159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</row>
    <row r="23" spans="1:61" x14ac:dyDescent="0.25">
      <c r="A23" s="35" t="s">
        <v>160</v>
      </c>
      <c r="B23" s="38">
        <f t="shared" ref="B23:AG23" si="20">B12-B19</f>
        <v>17000</v>
      </c>
      <c r="C23" s="38">
        <f t="shared" si="20"/>
        <v>17000</v>
      </c>
      <c r="D23" s="38">
        <f t="shared" si="20"/>
        <v>17000</v>
      </c>
      <c r="E23" s="38">
        <f t="shared" si="20"/>
        <v>17000</v>
      </c>
      <c r="F23" s="38">
        <f t="shared" si="20"/>
        <v>17000</v>
      </c>
      <c r="G23" s="38">
        <f t="shared" si="20"/>
        <v>22160.714285714286</v>
      </c>
      <c r="H23" s="38">
        <f t="shared" si="20"/>
        <v>27304.428571428572</v>
      </c>
      <c r="I23" s="38">
        <f t="shared" si="20"/>
        <v>32431.210857142854</v>
      </c>
      <c r="J23" s="38">
        <f t="shared" si="20"/>
        <v>37541.128812571427</v>
      </c>
      <c r="K23" s="38">
        <f t="shared" si="20"/>
        <v>44980.745152701886</v>
      </c>
      <c r="L23" s="38">
        <f t="shared" si="20"/>
        <v>53331.020562957623</v>
      </c>
      <c r="M23" s="38">
        <f t="shared" si="20"/>
        <v>62586.479715613954</v>
      </c>
      <c r="N23" s="38">
        <f t="shared" si="20"/>
        <v>77730.372766737346</v>
      </c>
      <c r="O23" s="38">
        <f t="shared" si="20"/>
        <v>92806.434037203115</v>
      </c>
      <c r="P23" s="38">
        <f t="shared" si="20"/>
        <v>107815.02241229915</v>
      </c>
      <c r="Q23" s="38">
        <f t="shared" si="20"/>
        <v>122756.49454134546</v>
      </c>
      <c r="R23" s="38">
        <f t="shared" si="20"/>
        <v>137631.20485369215</v>
      </c>
      <c r="S23" s="38">
        <f t="shared" si="20"/>
        <v>152439.5055745916</v>
      </c>
      <c r="T23" s="38">
        <f t="shared" si="20"/>
        <v>175446.24881516458</v>
      </c>
      <c r="U23" s="38">
        <f t="shared" si="20"/>
        <v>200709.8820227035</v>
      </c>
      <c r="V23" s="38">
        <f t="shared" si="20"/>
        <v>228216.4509214659</v>
      </c>
      <c r="W23" s="38">
        <f t="shared" si="20"/>
        <v>257952.08972421591</v>
      </c>
      <c r="X23" s="38">
        <f t="shared" si="20"/>
        <v>289903.02052449965</v>
      </c>
      <c r="Y23" s="38">
        <f t="shared" si="20"/>
        <v>324055.55269348295</v>
      </c>
      <c r="Z23" s="38">
        <f t="shared" si="20"/>
        <v>353445.5614479839</v>
      </c>
      <c r="AA23" s="38">
        <f t="shared" si="20"/>
        <v>382653.18864521675</v>
      </c>
      <c r="AB23" s="38">
        <f t="shared" si="20"/>
        <v>411679.59907157416</v>
      </c>
      <c r="AC23" s="38">
        <f t="shared" si="20"/>
        <v>440525.9494264801</v>
      </c>
      <c r="AD23" s="38">
        <f t="shared" si="20"/>
        <v>469193.38838392438</v>
      </c>
      <c r="AE23" s="38">
        <f t="shared" si="20"/>
        <v>497683.05665349512</v>
      </c>
      <c r="AF23" s="38">
        <f t="shared" si="20"/>
        <v>535403.74241246143</v>
      </c>
      <c r="AG23" s="38">
        <f t="shared" si="20"/>
        <v>575592.92723767459</v>
      </c>
      <c r="AH23" s="38">
        <f t="shared" ref="AH23:BI23" si="21">AH12-AH19</f>
        <v>618235.49986207602</v>
      </c>
      <c r="AI23" s="38">
        <f t="shared" si="21"/>
        <v>662112.02898426424</v>
      </c>
      <c r="AJ23" s="38">
        <f t="shared" si="21"/>
        <v>708421.16655044293</v>
      </c>
      <c r="AK23" s="38">
        <f t="shared" si="21"/>
        <v>757147.99936979683</v>
      </c>
      <c r="AL23" s="38">
        <f t="shared" si="21"/>
        <v>795211.90776527044</v>
      </c>
      <c r="AM23" s="38">
        <f t="shared" si="21"/>
        <v>832984.66635239637</v>
      </c>
      <c r="AN23" s="38">
        <f t="shared" si="21"/>
        <v>870468.30084546073</v>
      </c>
      <c r="AO23" s="38">
        <f t="shared" si="21"/>
        <v>905913.16510104598</v>
      </c>
      <c r="AP23" s="38">
        <f t="shared" si="21"/>
        <v>941086.9265317485</v>
      </c>
      <c r="AQ23" s="38">
        <f t="shared" si="21"/>
        <v>975991.48357445921</v>
      </c>
      <c r="AR23" s="38">
        <f t="shared" si="21"/>
        <v>1016008.744171226</v>
      </c>
      <c r="AS23" s="38">
        <f t="shared" si="21"/>
        <v>1058401.821274383</v>
      </c>
      <c r="AT23" s="38">
        <f t="shared" si="21"/>
        <v>1103147.4445186162</v>
      </c>
      <c r="AU23" s="38">
        <f t="shared" si="21"/>
        <v>1150222.5703545231</v>
      </c>
      <c r="AV23" s="38">
        <f t="shared" si="21"/>
        <v>1199604.3798703521</v>
      </c>
      <c r="AW23" s="38">
        <f t="shared" si="21"/>
        <v>1251270.2766342645</v>
      </c>
      <c r="AX23" s="38">
        <f t="shared" si="21"/>
        <v>1284043.3454784811</v>
      </c>
      <c r="AY23" s="38">
        <f t="shared" si="21"/>
        <v>1316477.2011522392</v>
      </c>
      <c r="AZ23" s="38">
        <f t="shared" si="21"/>
        <v>1348574.9914890642</v>
      </c>
      <c r="BA23" s="38">
        <f t="shared" si="21"/>
        <v>1380339.8352950532</v>
      </c>
      <c r="BB23" s="38">
        <f t="shared" si="21"/>
        <v>1411774.8226168274</v>
      </c>
      <c r="BC23" s="38">
        <f t="shared" si="21"/>
        <v>1442883.0150070267</v>
      </c>
      <c r="BD23" s="38">
        <f t="shared" si="21"/>
        <v>1477390.9113207376</v>
      </c>
      <c r="BE23" s="38">
        <f t="shared" si="21"/>
        <v>1513752.3903308893</v>
      </c>
      <c r="BF23" s="38">
        <f t="shared" si="21"/>
        <v>1551947.6667638083</v>
      </c>
      <c r="BG23" s="38">
        <f t="shared" si="21"/>
        <v>1591957.1566737131</v>
      </c>
      <c r="BH23" s="38">
        <f t="shared" si="21"/>
        <v>1633761.4754691494</v>
      </c>
      <c r="BI23" s="38">
        <f t="shared" si="21"/>
        <v>1677341.4359581969</v>
      </c>
    </row>
    <row r="24" spans="1:61" x14ac:dyDescent="0.25">
      <c r="A24" s="27" t="s">
        <v>161</v>
      </c>
      <c r="B24" s="29">
        <f t="shared" ref="B24:AG24" si="22">B12-B20</f>
        <v>-122000</v>
      </c>
      <c r="C24" s="29">
        <f t="shared" si="22"/>
        <v>-172000</v>
      </c>
      <c r="D24" s="29">
        <f t="shared" si="22"/>
        <v>-172000</v>
      </c>
      <c r="E24" s="29">
        <f t="shared" si="22"/>
        <v>-172000</v>
      </c>
      <c r="F24" s="29">
        <f t="shared" si="22"/>
        <v>-172000</v>
      </c>
      <c r="G24" s="29">
        <f t="shared" si="22"/>
        <v>-166839.28571428571</v>
      </c>
      <c r="H24" s="29">
        <f t="shared" si="22"/>
        <v>-161695.57142857142</v>
      </c>
      <c r="I24" s="29">
        <f t="shared" si="22"/>
        <v>-156568.78914285713</v>
      </c>
      <c r="J24" s="29">
        <f t="shared" si="22"/>
        <v>-151458.87118742857</v>
      </c>
      <c r="K24" s="29">
        <f t="shared" si="22"/>
        <v>-150019.25484729809</v>
      </c>
      <c r="L24" s="29">
        <f t="shared" si="22"/>
        <v>-141668.97943704238</v>
      </c>
      <c r="M24" s="29">
        <f t="shared" si="22"/>
        <v>-269913.520284386</v>
      </c>
      <c r="N24" s="29">
        <f t="shared" si="22"/>
        <v>-269219.62723326264</v>
      </c>
      <c r="O24" s="29">
        <f t="shared" si="22"/>
        <v>-276693.56596279691</v>
      </c>
      <c r="P24" s="29">
        <f t="shared" si="22"/>
        <v>-261684.97758770085</v>
      </c>
      <c r="Q24" s="29">
        <f t="shared" si="22"/>
        <v>-246743.50545865457</v>
      </c>
      <c r="R24" s="29">
        <f t="shared" si="22"/>
        <v>-231868.79514630785</v>
      </c>
      <c r="S24" s="29">
        <f t="shared" si="22"/>
        <v>-217060.4944254084</v>
      </c>
      <c r="T24" s="29">
        <f t="shared" si="22"/>
        <v>-194053.75118483545</v>
      </c>
      <c r="U24" s="29">
        <f t="shared" si="22"/>
        <v>-201590.11797729653</v>
      </c>
      <c r="V24" s="29">
        <f t="shared" si="22"/>
        <v>-174083.54907853412</v>
      </c>
      <c r="W24" s="29">
        <f t="shared" si="22"/>
        <v>-144347.91027578409</v>
      </c>
      <c r="X24" s="29">
        <f t="shared" si="22"/>
        <v>-112396.97947550035</v>
      </c>
      <c r="Y24" s="29">
        <f t="shared" si="22"/>
        <v>-78244.447306517046</v>
      </c>
      <c r="Z24" s="29">
        <f t="shared" si="22"/>
        <v>-102792.5635520161</v>
      </c>
      <c r="AA24" s="29">
        <f t="shared" si="22"/>
        <v>-73584.936354783247</v>
      </c>
      <c r="AB24" s="29">
        <f t="shared" si="22"/>
        <v>-44558.525928425835</v>
      </c>
      <c r="AC24" s="29">
        <f t="shared" si="22"/>
        <v>-15712.175573519897</v>
      </c>
      <c r="AD24" s="29">
        <f t="shared" si="22"/>
        <v>12955.263383924379</v>
      </c>
      <c r="AE24" s="29">
        <f t="shared" si="22"/>
        <v>41444.931653495179</v>
      </c>
      <c r="AF24" s="29">
        <f t="shared" si="22"/>
        <v>58153.117412461434</v>
      </c>
      <c r="AG24" s="29">
        <f t="shared" si="22"/>
        <v>98342.302237674594</v>
      </c>
      <c r="AH24" s="29">
        <f t="shared" ref="AH24:BI24" si="23">AH12-AH20</f>
        <v>140984.87486207602</v>
      </c>
      <c r="AI24" s="29">
        <f t="shared" si="23"/>
        <v>184861.40398426424</v>
      </c>
      <c r="AJ24" s="29">
        <f t="shared" si="23"/>
        <v>152373.66655044293</v>
      </c>
      <c r="AK24" s="29">
        <f t="shared" si="23"/>
        <v>201100.49936979683</v>
      </c>
      <c r="AL24" s="29">
        <f t="shared" si="23"/>
        <v>217013.34526527044</v>
      </c>
      <c r="AM24" s="29">
        <f t="shared" si="23"/>
        <v>254786.10385239625</v>
      </c>
      <c r="AN24" s="29">
        <f t="shared" si="23"/>
        <v>292269.73834546073</v>
      </c>
      <c r="AO24" s="29">
        <f t="shared" si="23"/>
        <v>327714.60260104598</v>
      </c>
      <c r="AP24" s="29">
        <f t="shared" si="23"/>
        <v>362888.3640317485</v>
      </c>
      <c r="AQ24" s="29">
        <f t="shared" si="23"/>
        <v>397792.92107445921</v>
      </c>
      <c r="AR24" s="29">
        <f t="shared" si="23"/>
        <v>437810.18167122605</v>
      </c>
      <c r="AS24" s="29">
        <f t="shared" si="23"/>
        <v>480203.25877438299</v>
      </c>
      <c r="AT24" s="29">
        <f t="shared" si="23"/>
        <v>524948.88201861631</v>
      </c>
      <c r="AU24" s="29">
        <f t="shared" si="23"/>
        <v>572024.00785452314</v>
      </c>
      <c r="AV24" s="29">
        <f t="shared" si="23"/>
        <v>621405.8173703521</v>
      </c>
      <c r="AW24" s="29">
        <f t="shared" si="23"/>
        <v>673071.7141342645</v>
      </c>
      <c r="AX24" s="29">
        <f t="shared" si="23"/>
        <v>681797.59391598112</v>
      </c>
      <c r="AY24" s="29">
        <f t="shared" si="23"/>
        <v>714231.44958973944</v>
      </c>
      <c r="AZ24" s="29">
        <f t="shared" si="23"/>
        <v>746329.23992656416</v>
      </c>
      <c r="BA24" s="29">
        <f t="shared" si="23"/>
        <v>778094.08373255329</v>
      </c>
      <c r="BB24" s="29">
        <f t="shared" si="23"/>
        <v>809529.07105432753</v>
      </c>
      <c r="BC24" s="29">
        <f t="shared" si="23"/>
        <v>840637.2634445267</v>
      </c>
      <c r="BD24" s="29">
        <f t="shared" si="23"/>
        <v>875145.15975823754</v>
      </c>
      <c r="BE24" s="29">
        <f t="shared" si="23"/>
        <v>911506.63876838924</v>
      </c>
      <c r="BF24" s="29">
        <f t="shared" si="23"/>
        <v>949701.91520130844</v>
      </c>
      <c r="BG24" s="29">
        <f t="shared" si="23"/>
        <v>989711.40511121321</v>
      </c>
      <c r="BH24" s="29">
        <f t="shared" si="23"/>
        <v>1031515.7239066495</v>
      </c>
      <c r="BI24" s="29">
        <f t="shared" si="23"/>
        <v>1075095.684395697</v>
      </c>
    </row>
    <row r="26" spans="1:61" x14ac:dyDescent="0.25">
      <c r="A26" s="68" t="s">
        <v>162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</row>
    <row r="27" spans="1:61" x14ac:dyDescent="0.25">
      <c r="A27" s="25" t="s">
        <v>163</v>
      </c>
      <c r="B27" s="18">
        <f>הנחות!B58</f>
        <v>5000000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</row>
    <row r="28" spans="1:61" x14ac:dyDescent="0.25">
      <c r="A28" s="25" t="s">
        <v>164</v>
      </c>
      <c r="B28" s="18">
        <f t="shared" ref="B28:AG28" si="24">B24+B27</f>
        <v>4878000</v>
      </c>
      <c r="C28" s="18">
        <f t="shared" si="24"/>
        <v>-172000</v>
      </c>
      <c r="D28" s="18">
        <f t="shared" si="24"/>
        <v>-172000</v>
      </c>
      <c r="E28" s="18">
        <f t="shared" si="24"/>
        <v>-172000</v>
      </c>
      <c r="F28" s="18">
        <f t="shared" si="24"/>
        <v>-172000</v>
      </c>
      <c r="G28" s="18">
        <f t="shared" si="24"/>
        <v>-166839.28571428571</v>
      </c>
      <c r="H28" s="18">
        <f t="shared" si="24"/>
        <v>-161695.57142857142</v>
      </c>
      <c r="I28" s="18">
        <f t="shared" si="24"/>
        <v>-156568.78914285713</v>
      </c>
      <c r="J28" s="18">
        <f t="shared" si="24"/>
        <v>-151458.87118742857</v>
      </c>
      <c r="K28" s="18">
        <f t="shared" si="24"/>
        <v>-150019.25484729809</v>
      </c>
      <c r="L28" s="18">
        <f t="shared" si="24"/>
        <v>-141668.97943704238</v>
      </c>
      <c r="M28" s="18">
        <f t="shared" si="24"/>
        <v>-269913.520284386</v>
      </c>
      <c r="N28" s="18">
        <f t="shared" si="24"/>
        <v>-269219.62723326264</v>
      </c>
      <c r="O28" s="18">
        <f t="shared" si="24"/>
        <v>-276693.56596279691</v>
      </c>
      <c r="P28" s="18">
        <f t="shared" si="24"/>
        <v>-261684.97758770085</v>
      </c>
      <c r="Q28" s="18">
        <f t="shared" si="24"/>
        <v>-246743.50545865457</v>
      </c>
      <c r="R28" s="18">
        <f t="shared" si="24"/>
        <v>-231868.79514630785</v>
      </c>
      <c r="S28" s="18">
        <f t="shared" si="24"/>
        <v>-217060.4944254084</v>
      </c>
      <c r="T28" s="18">
        <f t="shared" si="24"/>
        <v>-194053.75118483545</v>
      </c>
      <c r="U28" s="18">
        <f t="shared" si="24"/>
        <v>-201590.11797729653</v>
      </c>
      <c r="V28" s="18">
        <f t="shared" si="24"/>
        <v>-174083.54907853412</v>
      </c>
      <c r="W28" s="18">
        <f t="shared" si="24"/>
        <v>-144347.91027578409</v>
      </c>
      <c r="X28" s="18">
        <f t="shared" si="24"/>
        <v>-112396.97947550035</v>
      </c>
      <c r="Y28" s="18">
        <f t="shared" si="24"/>
        <v>-78244.447306517046</v>
      </c>
      <c r="Z28" s="18">
        <f t="shared" si="24"/>
        <v>-102792.5635520161</v>
      </c>
      <c r="AA28" s="18">
        <f t="shared" si="24"/>
        <v>-73584.936354783247</v>
      </c>
      <c r="AB28" s="18">
        <f t="shared" si="24"/>
        <v>-44558.525928425835</v>
      </c>
      <c r="AC28" s="18">
        <f t="shared" si="24"/>
        <v>-15712.175573519897</v>
      </c>
      <c r="AD28" s="18">
        <f t="shared" si="24"/>
        <v>12955.263383924379</v>
      </c>
      <c r="AE28" s="18">
        <f t="shared" si="24"/>
        <v>41444.931653495179</v>
      </c>
      <c r="AF28" s="18">
        <f t="shared" si="24"/>
        <v>58153.117412461434</v>
      </c>
      <c r="AG28" s="18">
        <f t="shared" si="24"/>
        <v>98342.302237674594</v>
      </c>
      <c r="AH28" s="18">
        <f t="shared" ref="AH28:BI28" si="25">AH24+AH27</f>
        <v>140984.87486207602</v>
      </c>
      <c r="AI28" s="18">
        <f t="shared" si="25"/>
        <v>184861.40398426424</v>
      </c>
      <c r="AJ28" s="18">
        <f t="shared" si="25"/>
        <v>152373.66655044293</v>
      </c>
      <c r="AK28" s="18">
        <f t="shared" si="25"/>
        <v>201100.49936979683</v>
      </c>
      <c r="AL28" s="18">
        <f t="shared" si="25"/>
        <v>217013.34526527044</v>
      </c>
      <c r="AM28" s="18">
        <f t="shared" si="25"/>
        <v>254786.10385239625</v>
      </c>
      <c r="AN28" s="18">
        <f t="shared" si="25"/>
        <v>292269.73834546073</v>
      </c>
      <c r="AO28" s="18">
        <f t="shared" si="25"/>
        <v>327714.60260104598</v>
      </c>
      <c r="AP28" s="18">
        <f t="shared" si="25"/>
        <v>362888.3640317485</v>
      </c>
      <c r="AQ28" s="18">
        <f t="shared" si="25"/>
        <v>397792.92107445921</v>
      </c>
      <c r="AR28" s="18">
        <f t="shared" si="25"/>
        <v>437810.18167122605</v>
      </c>
      <c r="AS28" s="18">
        <f t="shared" si="25"/>
        <v>480203.25877438299</v>
      </c>
      <c r="AT28" s="18">
        <f t="shared" si="25"/>
        <v>524948.88201861631</v>
      </c>
      <c r="AU28" s="18">
        <f t="shared" si="25"/>
        <v>572024.00785452314</v>
      </c>
      <c r="AV28" s="18">
        <f t="shared" si="25"/>
        <v>621405.8173703521</v>
      </c>
      <c r="AW28" s="18">
        <f t="shared" si="25"/>
        <v>673071.7141342645</v>
      </c>
      <c r="AX28" s="18">
        <f t="shared" si="25"/>
        <v>681797.59391598112</v>
      </c>
      <c r="AY28" s="18">
        <f t="shared" si="25"/>
        <v>714231.44958973944</v>
      </c>
      <c r="AZ28" s="18">
        <f t="shared" si="25"/>
        <v>746329.23992656416</v>
      </c>
      <c r="BA28" s="18">
        <f t="shared" si="25"/>
        <v>778094.08373255329</v>
      </c>
      <c r="BB28" s="18">
        <f t="shared" si="25"/>
        <v>809529.07105432753</v>
      </c>
      <c r="BC28" s="18">
        <f t="shared" si="25"/>
        <v>840637.2634445267</v>
      </c>
      <c r="BD28" s="18">
        <f t="shared" si="25"/>
        <v>875145.15975823754</v>
      </c>
      <c r="BE28" s="18">
        <f t="shared" si="25"/>
        <v>911506.63876838924</v>
      </c>
      <c r="BF28" s="18">
        <f t="shared" si="25"/>
        <v>949701.91520130844</v>
      </c>
      <c r="BG28" s="18">
        <f t="shared" si="25"/>
        <v>989711.40511121321</v>
      </c>
      <c r="BH28" s="18">
        <f t="shared" si="25"/>
        <v>1031515.7239066495</v>
      </c>
      <c r="BI28" s="18">
        <f t="shared" si="25"/>
        <v>1075095.684395697</v>
      </c>
    </row>
    <row r="29" spans="1:61" x14ac:dyDescent="0.25">
      <c r="A29" s="27" t="s">
        <v>165</v>
      </c>
      <c r="B29" s="29">
        <f>B28</f>
        <v>4878000</v>
      </c>
      <c r="C29" s="29">
        <f t="shared" ref="C29:AH29" si="26">B29+C28</f>
        <v>4706000</v>
      </c>
      <c r="D29" s="29">
        <f t="shared" si="26"/>
        <v>4534000</v>
      </c>
      <c r="E29" s="29">
        <f t="shared" si="26"/>
        <v>4362000</v>
      </c>
      <c r="F29" s="29">
        <f t="shared" si="26"/>
        <v>4190000</v>
      </c>
      <c r="G29" s="29">
        <f t="shared" si="26"/>
        <v>4023160.7142857141</v>
      </c>
      <c r="H29" s="29">
        <f t="shared" si="26"/>
        <v>3861465.1428571427</v>
      </c>
      <c r="I29" s="29">
        <f t="shared" si="26"/>
        <v>3704896.3537142854</v>
      </c>
      <c r="J29" s="29">
        <f t="shared" si="26"/>
        <v>3553437.4825268569</v>
      </c>
      <c r="K29" s="29">
        <f t="shared" si="26"/>
        <v>3403418.227679559</v>
      </c>
      <c r="L29" s="29">
        <f t="shared" si="26"/>
        <v>3261749.2482425165</v>
      </c>
      <c r="M29" s="29">
        <f t="shared" si="26"/>
        <v>2991835.7279581307</v>
      </c>
      <c r="N29" s="29">
        <f t="shared" si="26"/>
        <v>2722616.100724868</v>
      </c>
      <c r="O29" s="29">
        <f t="shared" si="26"/>
        <v>2445922.534762071</v>
      </c>
      <c r="P29" s="29">
        <f t="shared" si="26"/>
        <v>2184237.5571743702</v>
      </c>
      <c r="Q29" s="29">
        <f t="shared" si="26"/>
        <v>1937494.0517157156</v>
      </c>
      <c r="R29" s="29">
        <f t="shared" si="26"/>
        <v>1705625.2565694076</v>
      </c>
      <c r="S29" s="29">
        <f t="shared" si="26"/>
        <v>1488564.7621439993</v>
      </c>
      <c r="T29" s="29">
        <f t="shared" si="26"/>
        <v>1294511.0109591638</v>
      </c>
      <c r="U29" s="29">
        <f t="shared" si="26"/>
        <v>1092920.8929818673</v>
      </c>
      <c r="V29" s="29">
        <f t="shared" si="26"/>
        <v>918837.34390333318</v>
      </c>
      <c r="W29" s="29">
        <f t="shared" si="26"/>
        <v>774489.43362754909</v>
      </c>
      <c r="X29" s="29">
        <f t="shared" si="26"/>
        <v>662092.4541520488</v>
      </c>
      <c r="Y29" s="29">
        <f t="shared" si="26"/>
        <v>583848.00684553175</v>
      </c>
      <c r="Z29" s="29">
        <f t="shared" si="26"/>
        <v>481055.44329351565</v>
      </c>
      <c r="AA29" s="29">
        <f t="shared" si="26"/>
        <v>407470.5069387324</v>
      </c>
      <c r="AB29" s="29">
        <f t="shared" si="26"/>
        <v>362911.98101030657</v>
      </c>
      <c r="AC29" s="29">
        <f t="shared" si="26"/>
        <v>347199.80543678667</v>
      </c>
      <c r="AD29" s="29">
        <f t="shared" si="26"/>
        <v>360155.06882071105</v>
      </c>
      <c r="AE29" s="29">
        <f t="shared" si="26"/>
        <v>401600.00047420623</v>
      </c>
      <c r="AF29" s="29">
        <f t="shared" si="26"/>
        <v>459753.11788666766</v>
      </c>
      <c r="AG29" s="29">
        <f t="shared" si="26"/>
        <v>558095.4201243422</v>
      </c>
      <c r="AH29" s="29">
        <f t="shared" si="26"/>
        <v>699080.29498641822</v>
      </c>
      <c r="AI29" s="29">
        <f t="shared" ref="AI29:BI29" si="27">AH29+AI28</f>
        <v>883941.69897068245</v>
      </c>
      <c r="AJ29" s="29">
        <f t="shared" si="27"/>
        <v>1036315.3655211254</v>
      </c>
      <c r="AK29" s="29">
        <f t="shared" si="27"/>
        <v>1237415.8648909223</v>
      </c>
      <c r="AL29" s="29">
        <f t="shared" si="27"/>
        <v>1454429.2101561928</v>
      </c>
      <c r="AM29" s="29">
        <f t="shared" si="27"/>
        <v>1709215.3140085889</v>
      </c>
      <c r="AN29" s="29">
        <f t="shared" si="27"/>
        <v>2001485.0523540496</v>
      </c>
      <c r="AO29" s="29">
        <f t="shared" si="27"/>
        <v>2329199.6549550956</v>
      </c>
      <c r="AP29" s="29">
        <f t="shared" si="27"/>
        <v>2692088.018986844</v>
      </c>
      <c r="AQ29" s="29">
        <f t="shared" si="27"/>
        <v>3089880.9400613033</v>
      </c>
      <c r="AR29" s="29">
        <f t="shared" si="27"/>
        <v>3527691.1217325293</v>
      </c>
      <c r="AS29" s="29">
        <f t="shared" si="27"/>
        <v>4007894.3805069122</v>
      </c>
      <c r="AT29" s="29">
        <f t="shared" si="27"/>
        <v>4532843.2625255287</v>
      </c>
      <c r="AU29" s="29">
        <f t="shared" si="27"/>
        <v>5104867.2703800518</v>
      </c>
      <c r="AV29" s="29">
        <f t="shared" si="27"/>
        <v>5726273.0877504041</v>
      </c>
      <c r="AW29" s="29">
        <f t="shared" si="27"/>
        <v>6399344.8018846689</v>
      </c>
      <c r="AX29" s="29">
        <f t="shared" si="27"/>
        <v>7081142.3958006501</v>
      </c>
      <c r="AY29" s="29">
        <f t="shared" si="27"/>
        <v>7795373.8453903897</v>
      </c>
      <c r="AZ29" s="29">
        <f t="shared" si="27"/>
        <v>8541703.0853169542</v>
      </c>
      <c r="BA29" s="29">
        <f t="shared" si="27"/>
        <v>9319797.169049507</v>
      </c>
      <c r="BB29" s="29">
        <f t="shared" si="27"/>
        <v>10129326.240103835</v>
      </c>
      <c r="BC29" s="29">
        <f t="shared" si="27"/>
        <v>10969963.503548361</v>
      </c>
      <c r="BD29" s="29">
        <f t="shared" si="27"/>
        <v>11845108.663306599</v>
      </c>
      <c r="BE29" s="29">
        <f t="shared" si="27"/>
        <v>12756615.302074989</v>
      </c>
      <c r="BF29" s="29">
        <f t="shared" si="27"/>
        <v>13706317.217276298</v>
      </c>
      <c r="BG29" s="29">
        <f t="shared" si="27"/>
        <v>14696028.62238751</v>
      </c>
      <c r="BH29" s="29">
        <f t="shared" si="27"/>
        <v>15727544.346294159</v>
      </c>
      <c r="BI29" s="29">
        <f t="shared" si="27"/>
        <v>16802640.030689858</v>
      </c>
    </row>
    <row r="32" spans="1:61" x14ac:dyDescent="0.25">
      <c r="A32" s="68" t="s">
        <v>166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</row>
    <row r="33" spans="1:61" x14ac:dyDescent="0.25">
      <c r="A33" s="68" t="s">
        <v>167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</row>
    <row r="34" spans="1:61" x14ac:dyDescent="0.25">
      <c r="A34" s="31" t="s">
        <v>168</v>
      </c>
      <c r="B34" s="32">
        <f>IF(1&gt;=הנחות!B16,הנחות!B19/(13-הנחות!B16),0)</f>
        <v>0</v>
      </c>
      <c r="C34" s="32">
        <f>IF(2&gt;=הנחות!B16,הנחות!B19/(13-הנחות!B16),0)</f>
        <v>0</v>
      </c>
      <c r="D34" s="32">
        <f>IF(3&gt;=הנחות!B16,הנחות!B19/(13-הנחות!B16),0)</f>
        <v>0</v>
      </c>
      <c r="E34" s="32">
        <f>IF(4&gt;=הנחות!B16,הנחות!B19/(13-הנחות!B16),0)</f>
        <v>0</v>
      </c>
      <c r="F34" s="32">
        <f>IF(5&gt;=הנחות!B16,הנחות!B19/(13-הנחות!B16),0)</f>
        <v>0</v>
      </c>
      <c r="G34" s="32">
        <f>IF(6&gt;=הנחות!B16,הנחות!B19/(13-הנחות!B16),0)</f>
        <v>0.7142857142857143</v>
      </c>
      <c r="H34" s="32">
        <f>IF(7&gt;=הנחות!B16,הנחות!B19/(13-הנחות!B16),0)</f>
        <v>0.7142857142857143</v>
      </c>
      <c r="I34" s="32">
        <f>IF(8&gt;=הנחות!B16,הנחות!B19/(13-הנחות!B16),0)</f>
        <v>0.7142857142857143</v>
      </c>
      <c r="J34" s="32">
        <f>IF(9&gt;=הנחות!B16,הנחות!B19/(13-הנחות!B16),0)</f>
        <v>0.7142857142857143</v>
      </c>
      <c r="K34" s="32">
        <f>IF(10&gt;=הנחות!B16,הנחות!B19/(13-הנחות!B16),0)</f>
        <v>0.7142857142857143</v>
      </c>
      <c r="L34" s="32">
        <f>IF(11&gt;=הנחות!B16,הנחות!B19/(13-הנחות!B16),0)</f>
        <v>0.7142857142857143</v>
      </c>
      <c r="M34" s="32">
        <f>IF(12&gt;=הנחות!B16,הנחות!B19/(13-הנחות!B16),0)</f>
        <v>0.7142857142857143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</row>
    <row r="35" spans="1:61" x14ac:dyDescent="0.25">
      <c r="A35" s="31" t="s">
        <v>169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f>הנחות!B20/12</f>
        <v>1.6666666666666667</v>
      </c>
      <c r="O35" s="32">
        <f>הנחות!B20/12</f>
        <v>1.6666666666666667</v>
      </c>
      <c r="P35" s="32">
        <f>הנחות!B20/12</f>
        <v>1.6666666666666667</v>
      </c>
      <c r="Q35" s="32">
        <f>הנחות!B20/12</f>
        <v>1.6666666666666667</v>
      </c>
      <c r="R35" s="32">
        <f>הנחות!B20/12</f>
        <v>1.6666666666666667</v>
      </c>
      <c r="S35" s="32">
        <f>הנחות!B20/12</f>
        <v>1.6666666666666667</v>
      </c>
      <c r="T35" s="32">
        <f>הנחות!B20/12</f>
        <v>1.6666666666666667</v>
      </c>
      <c r="U35" s="32">
        <f>הנחות!B20/12</f>
        <v>1.6666666666666667</v>
      </c>
      <c r="V35" s="32">
        <f>הנחות!B20/12</f>
        <v>1.6666666666666667</v>
      </c>
      <c r="W35" s="32">
        <f>הנחות!B20/12</f>
        <v>1.6666666666666667</v>
      </c>
      <c r="X35" s="32">
        <f>הנחות!B20/12</f>
        <v>1.6666666666666667</v>
      </c>
      <c r="Y35" s="32">
        <f>הנחות!B20/12</f>
        <v>1.6666666666666667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</row>
    <row r="36" spans="1:61" x14ac:dyDescent="0.25">
      <c r="A36" s="31" t="s">
        <v>170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f>הנחות!B21/12</f>
        <v>1.6666666666666667</v>
      </c>
      <c r="AA36" s="32">
        <f>הנחות!B21/12</f>
        <v>1.6666666666666667</v>
      </c>
      <c r="AB36" s="32">
        <f>הנחות!B21/12</f>
        <v>1.6666666666666667</v>
      </c>
      <c r="AC36" s="32">
        <f>הנחות!B21/12</f>
        <v>1.6666666666666667</v>
      </c>
      <c r="AD36" s="32">
        <f>הנחות!B21/12</f>
        <v>1.6666666666666667</v>
      </c>
      <c r="AE36" s="32">
        <f>הנחות!B21/12</f>
        <v>1.6666666666666667</v>
      </c>
      <c r="AF36" s="32">
        <f>הנחות!B21/12</f>
        <v>1.6666666666666667</v>
      </c>
      <c r="AG36" s="32">
        <f>הנחות!B21/12</f>
        <v>1.6666666666666667</v>
      </c>
      <c r="AH36" s="32">
        <f>הנחות!B21/12</f>
        <v>1.6666666666666667</v>
      </c>
      <c r="AI36" s="32">
        <f>הנחות!B21/12</f>
        <v>1.6666666666666667</v>
      </c>
      <c r="AJ36" s="32">
        <f>הנחות!B21/12</f>
        <v>1.6666666666666667</v>
      </c>
      <c r="AK36" s="32">
        <f>הנחות!B21/12</f>
        <v>1.6666666666666667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</row>
    <row r="37" spans="1:61" x14ac:dyDescent="0.25">
      <c r="A37" s="31" t="s">
        <v>171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f>הנחות!B22/12</f>
        <v>10</v>
      </c>
      <c r="AM37" s="32">
        <f>הנחות!B22/12</f>
        <v>10</v>
      </c>
      <c r="AN37" s="32">
        <f>הנחות!B22/12</f>
        <v>10</v>
      </c>
      <c r="AO37" s="32">
        <f>הנחות!B22/12</f>
        <v>10</v>
      </c>
      <c r="AP37" s="32">
        <f>הנחות!B22/12</f>
        <v>10</v>
      </c>
      <c r="AQ37" s="32">
        <f>הנחות!B22/12</f>
        <v>10</v>
      </c>
      <c r="AR37" s="32">
        <f>הנחות!B22/12</f>
        <v>10</v>
      </c>
      <c r="AS37" s="32">
        <f>הנחות!B22/12</f>
        <v>10</v>
      </c>
      <c r="AT37" s="32">
        <f>הנחות!B22/12</f>
        <v>10</v>
      </c>
      <c r="AU37" s="32">
        <f>הנחות!B22/12</f>
        <v>10</v>
      </c>
      <c r="AV37" s="32">
        <f>הנחות!B22/12</f>
        <v>10</v>
      </c>
      <c r="AW37" s="32">
        <f>הנחות!B22/12</f>
        <v>10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</row>
    <row r="38" spans="1:61" x14ac:dyDescent="0.25">
      <c r="A38" s="31" t="s">
        <v>172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f>הנחות!B23/12</f>
        <v>10</v>
      </c>
      <c r="AY38" s="32">
        <f>הנחות!B23/12</f>
        <v>10</v>
      </c>
      <c r="AZ38" s="32">
        <f>הנחות!B23/12</f>
        <v>10</v>
      </c>
      <c r="BA38" s="32">
        <f>הנחות!B23/12</f>
        <v>10</v>
      </c>
      <c r="BB38" s="32">
        <f>הנחות!B23/12</f>
        <v>10</v>
      </c>
      <c r="BC38" s="32">
        <f>הנחות!B23/12</f>
        <v>10</v>
      </c>
      <c r="BD38" s="32">
        <f>הנחות!B23/12</f>
        <v>10</v>
      </c>
      <c r="BE38" s="32">
        <f>הנחות!B23/12</f>
        <v>10</v>
      </c>
      <c r="BF38" s="32">
        <f>הנחות!B23/12</f>
        <v>10</v>
      </c>
      <c r="BG38" s="32">
        <f>הנחות!B23/12</f>
        <v>10</v>
      </c>
      <c r="BH38" s="32">
        <f>הנחות!B23/12</f>
        <v>10</v>
      </c>
      <c r="BI38" s="32">
        <f>הנחות!B23/12</f>
        <v>10</v>
      </c>
    </row>
    <row r="39" spans="1:61" x14ac:dyDescent="0.25">
      <c r="A39" s="31" t="s">
        <v>173</v>
      </c>
      <c r="B39" s="32">
        <f>IF(1&gt;=הנחות!B16,הנחות!C19/(13-הנחות!B16),0)</f>
        <v>0</v>
      </c>
      <c r="C39" s="32">
        <f>IF(2&gt;=הנחות!B16,הנחות!C19/(13-הנחות!B16),0)</f>
        <v>0</v>
      </c>
      <c r="D39" s="32">
        <f>IF(3&gt;=הנחות!B16,הנחות!C19/(13-הנחות!B16),0)</f>
        <v>0</v>
      </c>
      <c r="E39" s="32">
        <f>IF(4&gt;=הנחות!B16,הנחות!C19/(13-הנחות!B16),0)</f>
        <v>0</v>
      </c>
      <c r="F39" s="32">
        <f>IF(5&gt;=הנחות!B16,הנחות!C19/(13-הנחות!B16),0)</f>
        <v>0</v>
      </c>
      <c r="G39" s="32">
        <f>IF(6&gt;=הנחות!B16,הנחות!C19/(13-הנחות!B16),0)</f>
        <v>0.7142857142857143</v>
      </c>
      <c r="H39" s="32">
        <f>IF(7&gt;=הנחות!B16,הנחות!C19/(13-הנחות!B16),0)</f>
        <v>0.7142857142857143</v>
      </c>
      <c r="I39" s="32">
        <f>IF(8&gt;=הנחות!B16,הנחות!C19/(13-הנחות!B16),0)</f>
        <v>0.7142857142857143</v>
      </c>
      <c r="J39" s="32">
        <f>IF(9&gt;=הנחות!B16,הנחות!C19/(13-הנחות!B16),0)</f>
        <v>0.7142857142857143</v>
      </c>
      <c r="K39" s="32">
        <f>IF(10&gt;=הנחות!B16,הנחות!C19/(13-הנחות!B16),0)</f>
        <v>0.7142857142857143</v>
      </c>
      <c r="L39" s="32">
        <f>IF(11&gt;=הנחות!B16,הנחות!C19/(13-הנחות!B16),0)</f>
        <v>0.7142857142857143</v>
      </c>
      <c r="M39" s="32">
        <f>IF(12&gt;=הנחות!B16,הנחות!C19/(13-הנחות!B16),0)</f>
        <v>0.7142857142857143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</row>
    <row r="40" spans="1:61" x14ac:dyDescent="0.25">
      <c r="A40" s="31" t="s">
        <v>174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f>הנחות!C20/12</f>
        <v>2.0833333333333335</v>
      </c>
      <c r="O40" s="32">
        <f>הנחות!C20/12</f>
        <v>2.0833333333333335</v>
      </c>
      <c r="P40" s="32">
        <f>הנחות!C20/12</f>
        <v>2.0833333333333335</v>
      </c>
      <c r="Q40" s="32">
        <f>הנחות!C20/12</f>
        <v>2.0833333333333335</v>
      </c>
      <c r="R40" s="32">
        <f>הנחות!C20/12</f>
        <v>2.0833333333333335</v>
      </c>
      <c r="S40" s="32">
        <f>הנחות!C20/12</f>
        <v>2.0833333333333335</v>
      </c>
      <c r="T40" s="32">
        <f>הנחות!C20/12</f>
        <v>2.0833333333333335</v>
      </c>
      <c r="U40" s="32">
        <f>הנחות!C20/12</f>
        <v>2.0833333333333335</v>
      </c>
      <c r="V40" s="32">
        <f>הנחות!C20/12</f>
        <v>2.0833333333333335</v>
      </c>
      <c r="W40" s="32">
        <f>הנחות!C20/12</f>
        <v>2.0833333333333335</v>
      </c>
      <c r="X40" s="32">
        <f>הנחות!C20/12</f>
        <v>2.0833333333333335</v>
      </c>
      <c r="Y40" s="32">
        <f>הנחות!C20/12</f>
        <v>2.0833333333333335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</row>
    <row r="41" spans="1:61" x14ac:dyDescent="0.25">
      <c r="A41" s="31" t="s">
        <v>175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f>הנחות!C21/12</f>
        <v>2.5</v>
      </c>
      <c r="AA41" s="32">
        <f>הנחות!C21/12</f>
        <v>2.5</v>
      </c>
      <c r="AB41" s="32">
        <f>הנחות!C21/12</f>
        <v>2.5</v>
      </c>
      <c r="AC41" s="32">
        <f>הנחות!C21/12</f>
        <v>2.5</v>
      </c>
      <c r="AD41" s="32">
        <f>הנחות!C21/12</f>
        <v>2.5</v>
      </c>
      <c r="AE41" s="32">
        <f>הנחות!C21/12</f>
        <v>2.5</v>
      </c>
      <c r="AF41" s="32">
        <f>הנחות!C21/12</f>
        <v>2.5</v>
      </c>
      <c r="AG41" s="32">
        <f>הנחות!C21/12</f>
        <v>2.5</v>
      </c>
      <c r="AH41" s="32">
        <f>הנחות!C21/12</f>
        <v>2.5</v>
      </c>
      <c r="AI41" s="32">
        <f>הנחות!C21/12</f>
        <v>2.5</v>
      </c>
      <c r="AJ41" s="32">
        <f>הנחות!C21/12</f>
        <v>2.5</v>
      </c>
      <c r="AK41" s="32">
        <f>הנחות!C21/12</f>
        <v>2.5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</row>
    <row r="42" spans="1:61" x14ac:dyDescent="0.25">
      <c r="A42" s="31" t="s">
        <v>176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f>הנחות!C22/12</f>
        <v>0.83333333333333337</v>
      </c>
      <c r="AM42" s="32">
        <f>הנחות!C22/12</f>
        <v>0.83333333333333337</v>
      </c>
      <c r="AN42" s="32">
        <f>הנחות!C22/12</f>
        <v>0.83333333333333337</v>
      </c>
      <c r="AO42" s="32">
        <f>הנחות!C22/12</f>
        <v>0.83333333333333337</v>
      </c>
      <c r="AP42" s="32">
        <f>הנחות!C22/12</f>
        <v>0.83333333333333337</v>
      </c>
      <c r="AQ42" s="32">
        <f>הנחות!C22/12</f>
        <v>0.83333333333333337</v>
      </c>
      <c r="AR42" s="32">
        <f>הנחות!C22/12</f>
        <v>0.83333333333333337</v>
      </c>
      <c r="AS42" s="32">
        <f>הנחות!C22/12</f>
        <v>0.83333333333333337</v>
      </c>
      <c r="AT42" s="32">
        <f>הנחות!C22/12</f>
        <v>0.83333333333333337</v>
      </c>
      <c r="AU42" s="32">
        <f>הנחות!C22/12</f>
        <v>0.83333333333333337</v>
      </c>
      <c r="AV42" s="32">
        <f>הנחות!C22/12</f>
        <v>0.83333333333333337</v>
      </c>
      <c r="AW42" s="32">
        <f>הנחות!C22/12</f>
        <v>0.83333333333333337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</row>
    <row r="43" spans="1:61" x14ac:dyDescent="0.25">
      <c r="A43" s="31" t="s">
        <v>177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f>הנחות!C23/12</f>
        <v>0.41666666666666669</v>
      </c>
      <c r="AY43" s="32">
        <f>הנחות!C23/12</f>
        <v>0.41666666666666669</v>
      </c>
      <c r="AZ43" s="32">
        <f>הנחות!C23/12</f>
        <v>0.41666666666666669</v>
      </c>
      <c r="BA43" s="32">
        <f>הנחות!C23/12</f>
        <v>0.41666666666666669</v>
      </c>
      <c r="BB43" s="32">
        <f>הנחות!C23/12</f>
        <v>0.41666666666666669</v>
      </c>
      <c r="BC43" s="32">
        <f>הנחות!C23/12</f>
        <v>0.41666666666666669</v>
      </c>
      <c r="BD43" s="32">
        <f>הנחות!C23/12</f>
        <v>0.41666666666666669</v>
      </c>
      <c r="BE43" s="32">
        <f>הנחות!C23/12</f>
        <v>0.41666666666666669</v>
      </c>
      <c r="BF43" s="32">
        <f>הנחות!C23/12</f>
        <v>0.41666666666666669</v>
      </c>
      <c r="BG43" s="32">
        <f>הנחות!C23/12</f>
        <v>0.41666666666666669</v>
      </c>
      <c r="BH43" s="32">
        <f>הנחות!C23/12</f>
        <v>0.41666666666666669</v>
      </c>
      <c r="BI43" s="32">
        <f>הנחות!C23/12</f>
        <v>0.41666666666666669</v>
      </c>
    </row>
    <row r="44" spans="1:61" x14ac:dyDescent="0.25">
      <c r="A44" s="31" t="s">
        <v>178</v>
      </c>
      <c r="B44" s="32">
        <f>IF(1&gt;=הנחות!B16,הנחות!D19/(13-הנחות!B16),0)</f>
        <v>0</v>
      </c>
      <c r="C44" s="32">
        <f>IF(2&gt;=הנחות!B16,הנחות!D19/(13-הנחות!B16),0)</f>
        <v>0</v>
      </c>
      <c r="D44" s="32">
        <f>IF(3&gt;=הנחות!B16,הנחות!D19/(13-הנחות!B16),0)</f>
        <v>0</v>
      </c>
      <c r="E44" s="32">
        <f>IF(4&gt;=הנחות!B16,הנחות!D19/(13-הנחות!B16),0)</f>
        <v>0</v>
      </c>
      <c r="F44" s="32">
        <f>IF(5&gt;=הנחות!B16,הנחות!D19/(13-הנחות!B16),0)</f>
        <v>0</v>
      </c>
      <c r="G44" s="32">
        <f>IF(6&gt;=הנחות!B16,הנחות!D19/(13-הנחות!B16),0)</f>
        <v>0.14285714285714285</v>
      </c>
      <c r="H44" s="32">
        <f>IF(7&gt;=הנחות!B16,הנחות!D19/(13-הנחות!B16),0)</f>
        <v>0.14285714285714285</v>
      </c>
      <c r="I44" s="32">
        <f>IF(8&gt;=הנחות!B16,הנחות!D19/(13-הנחות!B16),0)</f>
        <v>0.14285714285714285</v>
      </c>
      <c r="J44" s="32">
        <f>IF(9&gt;=הנחות!B16,הנחות!D19/(13-הנחות!B16),0)</f>
        <v>0.14285714285714285</v>
      </c>
      <c r="K44" s="32">
        <f>IF(10&gt;=הנחות!B16,הנחות!D19/(13-הנחות!B16),0)</f>
        <v>0.14285714285714285</v>
      </c>
      <c r="L44" s="32">
        <f>IF(11&gt;=הנחות!B16,הנחות!D19/(13-הנחות!B16),0)</f>
        <v>0.14285714285714285</v>
      </c>
      <c r="M44" s="32">
        <f>IF(12&gt;=הנחות!B16,הנחות!D19/(13-הנחות!B16),0)</f>
        <v>0.14285714285714285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</row>
    <row r="45" spans="1:61" x14ac:dyDescent="0.25">
      <c r="A45" s="31" t="s">
        <v>179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f>הנחות!D20/12</f>
        <v>0.25</v>
      </c>
      <c r="O45" s="32">
        <f>הנחות!D20/12</f>
        <v>0.25</v>
      </c>
      <c r="P45" s="32">
        <f>הנחות!D20/12</f>
        <v>0.25</v>
      </c>
      <c r="Q45" s="32">
        <f>הנחות!D20/12</f>
        <v>0.25</v>
      </c>
      <c r="R45" s="32">
        <f>הנחות!D20/12</f>
        <v>0.25</v>
      </c>
      <c r="S45" s="32">
        <f>הנחות!D20/12</f>
        <v>0.25</v>
      </c>
      <c r="T45" s="32">
        <f>הנחות!D20/12</f>
        <v>0.25</v>
      </c>
      <c r="U45" s="32">
        <f>הנחות!D20/12</f>
        <v>0.25</v>
      </c>
      <c r="V45" s="32">
        <f>הנחות!D20/12</f>
        <v>0.25</v>
      </c>
      <c r="W45" s="32">
        <f>הנחות!D20/12</f>
        <v>0.25</v>
      </c>
      <c r="X45" s="32">
        <f>הנחות!D20/12</f>
        <v>0.25</v>
      </c>
      <c r="Y45" s="32">
        <f>הנחות!D20/12</f>
        <v>0.25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</row>
    <row r="46" spans="1:61" x14ac:dyDescent="0.25">
      <c r="A46" s="31" t="s">
        <v>180</v>
      </c>
      <c r="B46" s="32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f>הנחות!D21/12</f>
        <v>0.25</v>
      </c>
      <c r="AA46" s="32">
        <f>הנחות!D21/12</f>
        <v>0.25</v>
      </c>
      <c r="AB46" s="32">
        <f>הנחות!D21/12</f>
        <v>0.25</v>
      </c>
      <c r="AC46" s="32">
        <f>הנחות!D21/12</f>
        <v>0.25</v>
      </c>
      <c r="AD46" s="32">
        <f>הנחות!D21/12</f>
        <v>0.25</v>
      </c>
      <c r="AE46" s="32">
        <f>הנחות!D21/12</f>
        <v>0.25</v>
      </c>
      <c r="AF46" s="32">
        <f>הנחות!D21/12</f>
        <v>0.25</v>
      </c>
      <c r="AG46" s="32">
        <f>הנחות!D21/12</f>
        <v>0.25</v>
      </c>
      <c r="AH46" s="32">
        <f>הנחות!D21/12</f>
        <v>0.25</v>
      </c>
      <c r="AI46" s="32">
        <f>הנחות!D21/12</f>
        <v>0.25</v>
      </c>
      <c r="AJ46" s="32">
        <f>הנחות!D21/12</f>
        <v>0.25</v>
      </c>
      <c r="AK46" s="32">
        <f>הנחות!D21/12</f>
        <v>0.25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</row>
    <row r="47" spans="1:61" x14ac:dyDescent="0.25">
      <c r="A47" s="31" t="s">
        <v>181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f>הנחות!D22/12</f>
        <v>0.16666666666666666</v>
      </c>
      <c r="AM47" s="32">
        <f>הנחות!D22/12</f>
        <v>0.16666666666666666</v>
      </c>
      <c r="AN47" s="32">
        <f>הנחות!D22/12</f>
        <v>0.16666666666666666</v>
      </c>
      <c r="AO47" s="32">
        <f>הנחות!D22/12</f>
        <v>0.16666666666666666</v>
      </c>
      <c r="AP47" s="32">
        <f>הנחות!D22/12</f>
        <v>0.16666666666666666</v>
      </c>
      <c r="AQ47" s="32">
        <f>הנחות!D22/12</f>
        <v>0.16666666666666666</v>
      </c>
      <c r="AR47" s="32">
        <f>הנחות!D22/12</f>
        <v>0.16666666666666666</v>
      </c>
      <c r="AS47" s="32">
        <f>הנחות!D22/12</f>
        <v>0.16666666666666666</v>
      </c>
      <c r="AT47" s="32">
        <f>הנחות!D22/12</f>
        <v>0.16666666666666666</v>
      </c>
      <c r="AU47" s="32">
        <f>הנחות!D22/12</f>
        <v>0.16666666666666666</v>
      </c>
      <c r="AV47" s="32">
        <f>הנחות!D22/12</f>
        <v>0.16666666666666666</v>
      </c>
      <c r="AW47" s="32">
        <f>הנחות!D22/12</f>
        <v>0.16666666666666666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</row>
    <row r="48" spans="1:61" x14ac:dyDescent="0.25">
      <c r="A48" s="31" t="s">
        <v>182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f>הנחות!D23/12</f>
        <v>8.3333333333333329E-2</v>
      </c>
      <c r="AY48" s="32">
        <f>הנחות!D23/12</f>
        <v>8.3333333333333329E-2</v>
      </c>
      <c r="AZ48" s="32">
        <f>הנחות!D23/12</f>
        <v>8.3333333333333329E-2</v>
      </c>
      <c r="BA48" s="32">
        <f>הנחות!D23/12</f>
        <v>8.3333333333333329E-2</v>
      </c>
      <c r="BB48" s="32">
        <f>הנחות!D23/12</f>
        <v>8.3333333333333329E-2</v>
      </c>
      <c r="BC48" s="32">
        <f>הנחות!D23/12</f>
        <v>8.3333333333333329E-2</v>
      </c>
      <c r="BD48" s="32">
        <f>הנחות!D23/12</f>
        <v>8.3333333333333329E-2</v>
      </c>
      <c r="BE48" s="32">
        <f>הנחות!D23/12</f>
        <v>8.3333333333333329E-2</v>
      </c>
      <c r="BF48" s="32">
        <f>הנחות!D23/12</f>
        <v>8.3333333333333329E-2</v>
      </c>
      <c r="BG48" s="32">
        <f>הנחות!D23/12</f>
        <v>8.3333333333333329E-2</v>
      </c>
      <c r="BH48" s="32">
        <f>הנחות!D23/12</f>
        <v>8.3333333333333329E-2</v>
      </c>
      <c r="BI48" s="32">
        <f>הנחות!D23/12</f>
        <v>8.3333333333333329E-2</v>
      </c>
    </row>
    <row r="50" spans="1:61" x14ac:dyDescent="0.25">
      <c r="A50" s="68" t="s">
        <v>183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</row>
    <row r="51" spans="1:61" x14ac:dyDescent="0.25">
      <c r="A51" s="31" t="s">
        <v>184</v>
      </c>
      <c r="B51" s="33">
        <f t="shared" ref="B51:B65" si="28">B34</f>
        <v>0</v>
      </c>
      <c r="C51" s="33">
        <f>B51*(1-הנחות!B10)+C34</f>
        <v>0</v>
      </c>
      <c r="D51" s="33">
        <f>C51*(1-הנחות!B10)+D34</f>
        <v>0</v>
      </c>
      <c r="E51" s="33">
        <f>D51*(1-הנחות!B10)+E34</f>
        <v>0</v>
      </c>
      <c r="F51" s="33">
        <f>E51*(1-הנחות!B10)+F34</f>
        <v>0</v>
      </c>
      <c r="G51" s="33">
        <f>F51*(1-הנחות!B10)+G34</f>
        <v>0.7142857142857143</v>
      </c>
      <c r="H51" s="33">
        <f>G51*(1-הנחות!B10)+H34</f>
        <v>1.422857142857143</v>
      </c>
      <c r="I51" s="33">
        <f>H51*(1-הנחות!B10)+I34</f>
        <v>2.1257600000000001</v>
      </c>
      <c r="J51" s="33">
        <f>I51*(1-הנחות!B10)+J34</f>
        <v>2.8230396342857147</v>
      </c>
      <c r="K51" s="33">
        <f>J51*(1-הנחות!B10)+K34</f>
        <v>3.5147410314971435</v>
      </c>
      <c r="L51" s="33">
        <f>K51*(1-הנחות!B10)+L34</f>
        <v>4.2009088175308804</v>
      </c>
      <c r="M51" s="33">
        <f>L51*(1-הנחות!B10)+M34</f>
        <v>4.8815872612763478</v>
      </c>
      <c r="N51" s="33">
        <f>M51*(1-הנחות!B10)+N34</f>
        <v>4.8425345631861374</v>
      </c>
      <c r="O51" s="33">
        <f>N51*(1-הנחות!B10)+O34</f>
        <v>4.803794286680648</v>
      </c>
      <c r="P51" s="33">
        <f>O51*(1-הנחות!B10)+P34</f>
        <v>4.7653639323872028</v>
      </c>
      <c r="Q51" s="33">
        <f>P51*(1-הנחות!B10)+Q34</f>
        <v>4.7272410209281048</v>
      </c>
      <c r="R51" s="33">
        <f>Q51*(1-הנחות!B10)+R34</f>
        <v>4.6894230927606797</v>
      </c>
      <c r="S51" s="33">
        <f>R51*(1-הנחות!B10)+S34</f>
        <v>4.6519077080185944</v>
      </c>
      <c r="T51" s="33">
        <f>S51*(1-הנחות!B10)+T34</f>
        <v>4.6146924463544456</v>
      </c>
      <c r="U51" s="33">
        <f>T51*(1-הנחות!B10)+U34</f>
        <v>4.5777749067836098</v>
      </c>
      <c r="V51" s="33">
        <f>U51*(1-הנחות!B10)+V34</f>
        <v>4.5411527075293412</v>
      </c>
      <c r="W51" s="33">
        <f>V51*(1-הנחות!B10)+W34</f>
        <v>4.5048234858691067</v>
      </c>
      <c r="X51" s="33">
        <f>W51*(1-הנחות!B10)+X34</f>
        <v>4.4687848979821538</v>
      </c>
      <c r="Y51" s="33">
        <f>X51*(1-הנחות!B10)+Y34</f>
        <v>4.4330346187982963</v>
      </c>
      <c r="Z51" s="33">
        <f>Y51*(1-הנחות!B10)+Z34</f>
        <v>4.39757034184791</v>
      </c>
      <c r="AA51" s="33">
        <f>Z51*(1-הנחות!B10)+AA34</f>
        <v>4.3623897791131263</v>
      </c>
      <c r="AB51" s="33">
        <f>AA51*(1-הנחות!B10)+AB34</f>
        <v>4.3274906608802208</v>
      </c>
      <c r="AC51" s="33">
        <f>AB51*(1-הנחות!B10)+AC34</f>
        <v>4.292870735593179</v>
      </c>
      <c r="AD51" s="33">
        <f>AC51*(1-הנחות!B10)+AD34</f>
        <v>4.2585277697084338</v>
      </c>
      <c r="AE51" s="33">
        <f>AD51*(1-הנחות!B10)+AE34</f>
        <v>4.224459547550766</v>
      </c>
      <c r="AF51" s="33">
        <f>AE51*(1-הנחות!B10)+AF34</f>
        <v>4.1906638711703597</v>
      </c>
      <c r="AG51" s="33">
        <f>AF51*(1-הנחות!B10)+AG34</f>
        <v>4.1571385602009965</v>
      </c>
      <c r="AH51" s="33">
        <f>AG51*(1-הנחות!B10)+AH34</f>
        <v>4.1238814517193889</v>
      </c>
      <c r="AI51" s="33">
        <f>AH51*(1-הנחות!B10)+AI34</f>
        <v>4.0908904001056339</v>
      </c>
      <c r="AJ51" s="33">
        <f>AI51*(1-הנחות!B10)+AJ34</f>
        <v>4.0581632769047884</v>
      </c>
      <c r="AK51" s="33">
        <f>AJ51*(1-הנחות!B10)+AK34</f>
        <v>4.0256979706895502</v>
      </c>
      <c r="AL51" s="33">
        <f>AK51*(1-הנחות!B10)+AL34</f>
        <v>3.9934923869240335</v>
      </c>
      <c r="AM51" s="33">
        <f>AL51*(1-הנחות!B10)+AM34</f>
        <v>3.9615444478286412</v>
      </c>
      <c r="AN51" s="33">
        <f>AM51*(1-הנחות!B10)+AN34</f>
        <v>3.9298520922460121</v>
      </c>
      <c r="AO51" s="33">
        <f>AN51*(1-הנחות!B10)+AO34</f>
        <v>3.8984132755080441</v>
      </c>
      <c r="AP51" s="33">
        <f>AO51*(1-הנחות!B10)+AP34</f>
        <v>3.8672259693039797</v>
      </c>
      <c r="AQ51" s="33">
        <f>AP51*(1-הנחות!B10)+AQ34</f>
        <v>3.8362881615495477</v>
      </c>
      <c r="AR51" s="33">
        <f>AQ51*(1-הנחות!B10)+AR34</f>
        <v>3.8055978562571511</v>
      </c>
      <c r="AS51" s="33">
        <f>AR51*(1-הנחות!B10)+AS34</f>
        <v>3.7751530734070937</v>
      </c>
      <c r="AT51" s="33">
        <f>AS51*(1-הנחות!B10)+AT34</f>
        <v>3.744951848819837</v>
      </c>
      <c r="AU51" s="33">
        <f>AT51*(1-הנחות!B10)+AU34</f>
        <v>3.7149922340292783</v>
      </c>
      <c r="AV51" s="33">
        <f>AU51*(1-הנחות!B10)+AV34</f>
        <v>3.6852722961570441</v>
      </c>
      <c r="AW51" s="33">
        <f>AV51*(1-הנחות!B10)+AW34</f>
        <v>3.6557901177877876</v>
      </c>
      <c r="AX51" s="33">
        <f>AW51*(1-הנחות!B10)+AX34</f>
        <v>3.6265437968454854</v>
      </c>
      <c r="AY51" s="33">
        <f>AX51*(1-הנחות!B10)+AY34</f>
        <v>3.5975314464707213</v>
      </c>
      <c r="AZ51" s="33">
        <f>AY51*(1-הנחות!B10)+AZ34</f>
        <v>3.5687511948989554</v>
      </c>
      <c r="BA51" s="33">
        <f>AZ51*(1-הנחות!B10)+BA34</f>
        <v>3.5402011853397637</v>
      </c>
      <c r="BB51" s="33">
        <f>BA51*(1-הנחות!B10)+BB34</f>
        <v>3.5118795758570456</v>
      </c>
      <c r="BC51" s="33">
        <f>BB51*(1-הנחות!B10)+BC34</f>
        <v>3.4837845392501894</v>
      </c>
      <c r="BD51" s="33">
        <f>BC51*(1-הנחות!B10)+BD34</f>
        <v>3.4559142629361879</v>
      </c>
      <c r="BE51" s="33">
        <f>BD51*(1-הנחות!B10)+BE34</f>
        <v>3.4282669488326984</v>
      </c>
      <c r="BF51" s="33">
        <f>BE51*(1-הנחות!B10)+BF34</f>
        <v>3.4008408132420369</v>
      </c>
      <c r="BG51" s="33">
        <f>BF51*(1-הנחות!B10)+BG34</f>
        <v>3.3736340867361005</v>
      </c>
      <c r="BH51" s="33">
        <f>BG51*(1-הנחות!B10)+BH34</f>
        <v>3.3466450140422119</v>
      </c>
      <c r="BI51" s="33">
        <f>BH51*(1-הנחות!B10)+BI34</f>
        <v>3.3198718539298744</v>
      </c>
    </row>
    <row r="52" spans="1:61" x14ac:dyDescent="0.25">
      <c r="A52" s="31" t="s">
        <v>185</v>
      </c>
      <c r="B52" s="33">
        <f t="shared" si="28"/>
        <v>0</v>
      </c>
      <c r="C52" s="33">
        <f>B52*(1-הנחות!B10)+C35</f>
        <v>0</v>
      </c>
      <c r="D52" s="33">
        <f>C52*(1-הנחות!B10)+D35</f>
        <v>0</v>
      </c>
      <c r="E52" s="33">
        <f>D52*(1-הנחות!B10)+E35</f>
        <v>0</v>
      </c>
      <c r="F52" s="33">
        <f>E52*(1-הנחות!B10)+F35</f>
        <v>0</v>
      </c>
      <c r="G52" s="33">
        <f>F52*(1-הנחות!B10)+G35</f>
        <v>0</v>
      </c>
      <c r="H52" s="33">
        <f>G52*(1-הנחות!B10)+H35</f>
        <v>0</v>
      </c>
      <c r="I52" s="33">
        <f>H52*(1-הנחות!B10)+I35</f>
        <v>0</v>
      </c>
      <c r="J52" s="33">
        <f>I52*(1-הנחות!B10)+J35</f>
        <v>0</v>
      </c>
      <c r="K52" s="33">
        <f>J52*(1-הנחות!B10)+K35</f>
        <v>0</v>
      </c>
      <c r="L52" s="33">
        <f>K52*(1-הנחות!B10)+L35</f>
        <v>0</v>
      </c>
      <c r="M52" s="33">
        <f>L52*(1-הנחות!B10)+M35</f>
        <v>0</v>
      </c>
      <c r="N52" s="33">
        <f>M52*(1-הנחות!B10)+N35</f>
        <v>1.6666666666666667</v>
      </c>
      <c r="O52" s="33">
        <f>N52*(1-הנחות!B10)+O35</f>
        <v>3.3200000000000003</v>
      </c>
      <c r="P52" s="33">
        <f>O52*(1-הנחות!B10)+P35</f>
        <v>4.9601066666666673</v>
      </c>
      <c r="Q52" s="33">
        <f>P52*(1-הנחות!B10)+Q35</f>
        <v>6.5870924800000008</v>
      </c>
      <c r="R52" s="33">
        <f>Q52*(1-הנחות!B10)+R35</f>
        <v>8.2010624068266669</v>
      </c>
      <c r="S52" s="33">
        <f>R52*(1-הנחות!B10)+S35</f>
        <v>9.8021205742387192</v>
      </c>
      <c r="T52" s="33">
        <f>S52*(1-הנחות!B10)+T35</f>
        <v>11.390370276311476</v>
      </c>
      <c r="U52" s="33">
        <f>T52*(1-הנחות!B10)+U35</f>
        <v>12.965913980767651</v>
      </c>
      <c r="V52" s="33">
        <f>U52*(1-הנחות!B10)+V35</f>
        <v>14.528853335588176</v>
      </c>
      <c r="W52" s="33">
        <f>V52*(1-הנחות!B10)+W35</f>
        <v>16.079289175570135</v>
      </c>
      <c r="X52" s="33">
        <f>W52*(1-הנחות!B10)+X35</f>
        <v>17.617321528832242</v>
      </c>
      <c r="Y52" s="33">
        <f>X52*(1-הנחות!B10)+Y35</f>
        <v>19.143049623268251</v>
      </c>
      <c r="Z52" s="33">
        <f>Y52*(1-הנחות!B10)+Z35</f>
        <v>18.989905226282104</v>
      </c>
      <c r="AA52" s="33">
        <f>Z52*(1-הנחות!B10)+AA35</f>
        <v>18.837985984471846</v>
      </c>
      <c r="AB52" s="33">
        <f>AA52*(1-הנחות!B10)+AB35</f>
        <v>18.687282096596071</v>
      </c>
      <c r="AC52" s="33">
        <f>AB52*(1-הנחות!B10)+AC35</f>
        <v>18.537783839823302</v>
      </c>
      <c r="AD52" s="33">
        <f>AC52*(1-הנחות!B10)+AD35</f>
        <v>18.389481569104714</v>
      </c>
      <c r="AE52" s="33">
        <f>AD52*(1-הנחות!B10)+AE35</f>
        <v>18.242365716551877</v>
      </c>
      <c r="AF52" s="33">
        <f>AE52*(1-הנחות!B10)+AF35</f>
        <v>18.096426790819461</v>
      </c>
      <c r="AG52" s="33">
        <f>AF52*(1-הנחות!B10)+AG35</f>
        <v>17.951655376492905</v>
      </c>
      <c r="AH52" s="33">
        <f>AG52*(1-הנחות!B10)+AH35</f>
        <v>17.80804213348096</v>
      </c>
      <c r="AI52" s="33">
        <f>AH52*(1-הנחות!B10)+AI35</f>
        <v>17.66557779641311</v>
      </c>
      <c r="AJ52" s="33">
        <f>AI52*(1-הנחות!B10)+AJ35</f>
        <v>17.524253174041807</v>
      </c>
      <c r="AK52" s="33">
        <f>AJ52*(1-הנחות!B10)+AK35</f>
        <v>17.384059148649474</v>
      </c>
      <c r="AL52" s="33">
        <f>AK52*(1-הנחות!B10)+AL35</f>
        <v>17.244986675460279</v>
      </c>
      <c r="AM52" s="33">
        <f>AL52*(1-הנחות!B10)+AM35</f>
        <v>17.107026782056597</v>
      </c>
      <c r="AN52" s="33">
        <f>AM52*(1-הנחות!B10)+AN35</f>
        <v>16.970170567800142</v>
      </c>
      <c r="AO52" s="33">
        <f>AN52*(1-הנחות!B10)+AO35</f>
        <v>16.834409203257742</v>
      </c>
      <c r="AP52" s="33">
        <f>AO52*(1-הנחות!B10)+AP35</f>
        <v>16.69973392963168</v>
      </c>
      <c r="AQ52" s="33">
        <f>AP52*(1-הנחות!B10)+AQ35</f>
        <v>16.566136058194626</v>
      </c>
      <c r="AR52" s="33">
        <f>AQ52*(1-הנחות!B10)+AR35</f>
        <v>16.43360696972907</v>
      </c>
      <c r="AS52" s="33">
        <f>AR52*(1-הנחות!B10)+AS35</f>
        <v>16.302138113971235</v>
      </c>
      <c r="AT52" s="33">
        <f>AS52*(1-הנחות!B10)+AT35</f>
        <v>16.171721009059464</v>
      </c>
      <c r="AU52" s="33">
        <f>AT52*(1-הנחות!B10)+AU35</f>
        <v>16.042347240986988</v>
      </c>
      <c r="AV52" s="33">
        <f>AU52*(1-הנחות!B10)+AV35</f>
        <v>15.914008463059092</v>
      </c>
      <c r="AW52" s="33">
        <f>AV52*(1-הנחות!B10)+AW35</f>
        <v>15.786696395354619</v>
      </c>
      <c r="AX52" s="33">
        <f>AW52*(1-הנחות!B10)+AX35</f>
        <v>15.660402824191783</v>
      </c>
      <c r="AY52" s="33">
        <f>AX52*(1-הנחות!B10)+AY35</f>
        <v>15.535119601598248</v>
      </c>
      <c r="AZ52" s="33">
        <f>AY52*(1-הנחות!B10)+AZ35</f>
        <v>15.410838644785462</v>
      </c>
      <c r="BA52" s="33">
        <f>AZ52*(1-הנחות!B10)+BA35</f>
        <v>15.287551935627178</v>
      </c>
      <c r="BB52" s="33">
        <f>BA52*(1-הנחות!B10)+BB35</f>
        <v>15.16525152014216</v>
      </c>
      <c r="BC52" s="33">
        <f>BB52*(1-הנחות!B10)+BC35</f>
        <v>15.043929507981023</v>
      </c>
      <c r="BD52" s="33">
        <f>BC52*(1-הנחות!B10)+BD35</f>
        <v>14.923578071917175</v>
      </c>
      <c r="BE52" s="33">
        <f>BD52*(1-הנחות!B10)+BE35</f>
        <v>14.804189447341837</v>
      </c>
      <c r="BF52" s="33">
        <f>BE52*(1-הנחות!B10)+BF35</f>
        <v>14.685755931763103</v>
      </c>
      <c r="BG52" s="33">
        <f>BF52*(1-הנחות!B10)+BG35</f>
        <v>14.568269884308998</v>
      </c>
      <c r="BH52" s="33">
        <f>BG52*(1-הנחות!B10)+BH35</f>
        <v>14.451723725234526</v>
      </c>
      <c r="BI52" s="33">
        <f>BH52*(1-הנחות!B10)+BI35</f>
        <v>14.336109935432649</v>
      </c>
    </row>
    <row r="53" spans="1:61" x14ac:dyDescent="0.25">
      <c r="A53" s="31" t="s">
        <v>186</v>
      </c>
      <c r="B53" s="33">
        <f t="shared" si="28"/>
        <v>0</v>
      </c>
      <c r="C53" s="33">
        <f>B53*(1-הנחות!B10)+C36</f>
        <v>0</v>
      </c>
      <c r="D53" s="33">
        <f>C53*(1-הנחות!B10)+D36</f>
        <v>0</v>
      </c>
      <c r="E53" s="33">
        <f>D53*(1-הנחות!B10)+E36</f>
        <v>0</v>
      </c>
      <c r="F53" s="33">
        <f>E53*(1-הנחות!B10)+F36</f>
        <v>0</v>
      </c>
      <c r="G53" s="33">
        <f>F53*(1-הנחות!B10)+G36</f>
        <v>0</v>
      </c>
      <c r="H53" s="33">
        <f>G53*(1-הנחות!B10)+H36</f>
        <v>0</v>
      </c>
      <c r="I53" s="33">
        <f>H53*(1-הנחות!B10)+I36</f>
        <v>0</v>
      </c>
      <c r="J53" s="33">
        <f>I53*(1-הנחות!B10)+J36</f>
        <v>0</v>
      </c>
      <c r="K53" s="33">
        <f>J53*(1-הנחות!B10)+K36</f>
        <v>0</v>
      </c>
      <c r="L53" s="33">
        <f>K53*(1-הנחות!B10)+L36</f>
        <v>0</v>
      </c>
      <c r="M53" s="33">
        <f>L53*(1-הנחות!B10)+M36</f>
        <v>0</v>
      </c>
      <c r="N53" s="33">
        <f>M53*(1-הנחות!B10)+N36</f>
        <v>0</v>
      </c>
      <c r="O53" s="33">
        <f>N53*(1-הנחות!B10)+O36</f>
        <v>0</v>
      </c>
      <c r="P53" s="33">
        <f>O53*(1-הנחות!B10)+P36</f>
        <v>0</v>
      </c>
      <c r="Q53" s="33">
        <f>P53*(1-הנחות!B10)+Q36</f>
        <v>0</v>
      </c>
      <c r="R53" s="33">
        <f>Q53*(1-הנחות!B10)+R36</f>
        <v>0</v>
      </c>
      <c r="S53" s="33">
        <f>R53*(1-הנחות!B10)+S36</f>
        <v>0</v>
      </c>
      <c r="T53" s="33">
        <f>S53*(1-הנחות!B10)+T36</f>
        <v>0</v>
      </c>
      <c r="U53" s="33">
        <f>T53*(1-הנחות!B10)+U36</f>
        <v>0</v>
      </c>
      <c r="V53" s="33">
        <f>U53*(1-הנחות!B10)+V36</f>
        <v>0</v>
      </c>
      <c r="W53" s="33">
        <f>V53*(1-הנחות!B10)+W36</f>
        <v>0</v>
      </c>
      <c r="X53" s="33">
        <f>W53*(1-הנחות!B10)+X36</f>
        <v>0</v>
      </c>
      <c r="Y53" s="33">
        <f>X53*(1-הנחות!B10)+Y36</f>
        <v>0</v>
      </c>
      <c r="Z53" s="33">
        <f>Y53*(1-הנחות!B10)+Z36</f>
        <v>1.6666666666666667</v>
      </c>
      <c r="AA53" s="33">
        <f>Z53*(1-הנחות!B10)+AA36</f>
        <v>3.3200000000000003</v>
      </c>
      <c r="AB53" s="33">
        <f>AA53*(1-הנחות!B10)+AB36</f>
        <v>4.9601066666666673</v>
      </c>
      <c r="AC53" s="33">
        <f>AB53*(1-הנחות!B10)+AC36</f>
        <v>6.5870924800000008</v>
      </c>
      <c r="AD53" s="33">
        <f>AC53*(1-הנחות!B10)+AD36</f>
        <v>8.2010624068266669</v>
      </c>
      <c r="AE53" s="33">
        <f>AD53*(1-הנחות!B10)+AE36</f>
        <v>9.8021205742387192</v>
      </c>
      <c r="AF53" s="33">
        <f>AE53*(1-הנחות!B10)+AF36</f>
        <v>11.390370276311476</v>
      </c>
      <c r="AG53" s="33">
        <f>AF53*(1-הנחות!B10)+AG36</f>
        <v>12.965913980767651</v>
      </c>
      <c r="AH53" s="33">
        <f>AG53*(1-הנחות!B10)+AH36</f>
        <v>14.528853335588176</v>
      </c>
      <c r="AI53" s="33">
        <f>AH53*(1-הנחות!B10)+AI36</f>
        <v>16.079289175570135</v>
      </c>
      <c r="AJ53" s="33">
        <f>AI53*(1-הנחות!B10)+AJ36</f>
        <v>17.617321528832242</v>
      </c>
      <c r="AK53" s="33">
        <f>AJ53*(1-הנחות!B10)+AK36</f>
        <v>19.143049623268251</v>
      </c>
      <c r="AL53" s="33">
        <f>AK53*(1-הנחות!B10)+AL36</f>
        <v>18.989905226282104</v>
      </c>
      <c r="AM53" s="33">
        <f>AL53*(1-הנחות!B10)+AM36</f>
        <v>18.837985984471846</v>
      </c>
      <c r="AN53" s="33">
        <f>AM53*(1-הנחות!B10)+AN36</f>
        <v>18.687282096596071</v>
      </c>
      <c r="AO53" s="33">
        <f>AN53*(1-הנחות!B10)+AO36</f>
        <v>18.537783839823302</v>
      </c>
      <c r="AP53" s="33">
        <f>AO53*(1-הנחות!B10)+AP36</f>
        <v>18.389481569104714</v>
      </c>
      <c r="AQ53" s="33">
        <f>AP53*(1-הנחות!B10)+AQ36</f>
        <v>18.242365716551877</v>
      </c>
      <c r="AR53" s="33">
        <f>AQ53*(1-הנחות!B10)+AR36</f>
        <v>18.096426790819461</v>
      </c>
      <c r="AS53" s="33">
        <f>AR53*(1-הנחות!B10)+AS36</f>
        <v>17.951655376492905</v>
      </c>
      <c r="AT53" s="33">
        <f>AS53*(1-הנחות!B10)+AT36</f>
        <v>17.80804213348096</v>
      </c>
      <c r="AU53" s="33">
        <f>AT53*(1-הנחות!B10)+AU36</f>
        <v>17.66557779641311</v>
      </c>
      <c r="AV53" s="33">
        <f>AU53*(1-הנחות!B10)+AV36</f>
        <v>17.524253174041807</v>
      </c>
      <c r="AW53" s="33">
        <f>AV53*(1-הנחות!B10)+AW36</f>
        <v>17.384059148649474</v>
      </c>
      <c r="AX53" s="33">
        <f>AW53*(1-הנחות!B10)+AX36</f>
        <v>17.244986675460279</v>
      </c>
      <c r="AY53" s="33">
        <f>AX53*(1-הנחות!B10)+AY36</f>
        <v>17.107026782056597</v>
      </c>
      <c r="AZ53" s="33">
        <f>AY53*(1-הנחות!B10)+AZ36</f>
        <v>16.970170567800142</v>
      </c>
      <c r="BA53" s="33">
        <f>AZ53*(1-הנחות!B10)+BA36</f>
        <v>16.834409203257742</v>
      </c>
      <c r="BB53" s="33">
        <f>BA53*(1-הנחות!B10)+BB36</f>
        <v>16.69973392963168</v>
      </c>
      <c r="BC53" s="33">
        <f>BB53*(1-הנחות!B10)+BC36</f>
        <v>16.566136058194626</v>
      </c>
      <c r="BD53" s="33">
        <f>BC53*(1-הנחות!B10)+BD36</f>
        <v>16.43360696972907</v>
      </c>
      <c r="BE53" s="33">
        <f>BD53*(1-הנחות!B10)+BE36</f>
        <v>16.302138113971235</v>
      </c>
      <c r="BF53" s="33">
        <f>BE53*(1-הנחות!B10)+BF36</f>
        <v>16.171721009059464</v>
      </c>
      <c r="BG53" s="33">
        <f>BF53*(1-הנחות!B10)+BG36</f>
        <v>16.042347240986988</v>
      </c>
      <c r="BH53" s="33">
        <f>BG53*(1-הנחות!B10)+BH36</f>
        <v>15.914008463059092</v>
      </c>
      <c r="BI53" s="33">
        <f>BH53*(1-הנחות!B10)+BI36</f>
        <v>15.786696395354619</v>
      </c>
    </row>
    <row r="54" spans="1:61" x14ac:dyDescent="0.25">
      <c r="A54" s="31" t="s">
        <v>187</v>
      </c>
      <c r="B54" s="33">
        <f t="shared" si="28"/>
        <v>0</v>
      </c>
      <c r="C54" s="33">
        <f>B54*(1-הנחות!B10)+C37</f>
        <v>0</v>
      </c>
      <c r="D54" s="33">
        <f>C54*(1-הנחות!B10)+D37</f>
        <v>0</v>
      </c>
      <c r="E54" s="33">
        <f>D54*(1-הנחות!B10)+E37</f>
        <v>0</v>
      </c>
      <c r="F54" s="33">
        <f>E54*(1-הנחות!B10)+F37</f>
        <v>0</v>
      </c>
      <c r="G54" s="33">
        <f>F54*(1-הנחות!B10)+G37</f>
        <v>0</v>
      </c>
      <c r="H54" s="33">
        <f>G54*(1-הנחות!B10)+H37</f>
        <v>0</v>
      </c>
      <c r="I54" s="33">
        <f>H54*(1-הנחות!B10)+I37</f>
        <v>0</v>
      </c>
      <c r="J54" s="33">
        <f>I54*(1-הנחות!B10)+J37</f>
        <v>0</v>
      </c>
      <c r="K54" s="33">
        <f>J54*(1-הנחות!B10)+K37</f>
        <v>0</v>
      </c>
      <c r="L54" s="33">
        <f>K54*(1-הנחות!B10)+L37</f>
        <v>0</v>
      </c>
      <c r="M54" s="33">
        <f>L54*(1-הנחות!B10)+M37</f>
        <v>0</v>
      </c>
      <c r="N54" s="33">
        <f>M54*(1-הנחות!B10)+N37</f>
        <v>0</v>
      </c>
      <c r="O54" s="33">
        <f>N54*(1-הנחות!B10)+O37</f>
        <v>0</v>
      </c>
      <c r="P54" s="33">
        <f>O54*(1-הנחות!B10)+P37</f>
        <v>0</v>
      </c>
      <c r="Q54" s="33">
        <f>P54*(1-הנחות!B10)+Q37</f>
        <v>0</v>
      </c>
      <c r="R54" s="33">
        <f>Q54*(1-הנחות!B10)+R37</f>
        <v>0</v>
      </c>
      <c r="S54" s="33">
        <f>R54*(1-הנחות!B10)+S37</f>
        <v>0</v>
      </c>
      <c r="T54" s="33">
        <f>S54*(1-הנחות!B10)+T37</f>
        <v>0</v>
      </c>
      <c r="U54" s="33">
        <f>T54*(1-הנחות!B10)+U37</f>
        <v>0</v>
      </c>
      <c r="V54" s="33">
        <f>U54*(1-הנחות!B10)+V37</f>
        <v>0</v>
      </c>
      <c r="W54" s="33">
        <f>V54*(1-הנחות!B10)+W37</f>
        <v>0</v>
      </c>
      <c r="X54" s="33">
        <f>W54*(1-הנחות!B10)+X37</f>
        <v>0</v>
      </c>
      <c r="Y54" s="33">
        <f>X54*(1-הנחות!B10)+Y37</f>
        <v>0</v>
      </c>
      <c r="Z54" s="33">
        <f>Y54*(1-הנחות!B10)+Z37</f>
        <v>0</v>
      </c>
      <c r="AA54" s="33">
        <f>Z54*(1-הנחות!B10)+AA37</f>
        <v>0</v>
      </c>
      <c r="AB54" s="33">
        <f>AA54*(1-הנחות!B10)+AB37</f>
        <v>0</v>
      </c>
      <c r="AC54" s="33">
        <f>AB54*(1-הנחות!B10)+AC37</f>
        <v>0</v>
      </c>
      <c r="AD54" s="33">
        <f>AC54*(1-הנחות!B10)+AD37</f>
        <v>0</v>
      </c>
      <c r="AE54" s="33">
        <f>AD54*(1-הנחות!B10)+AE37</f>
        <v>0</v>
      </c>
      <c r="AF54" s="33">
        <f>AE54*(1-הנחות!B10)+AF37</f>
        <v>0</v>
      </c>
      <c r="AG54" s="33">
        <f>AF54*(1-הנחות!B10)+AG37</f>
        <v>0</v>
      </c>
      <c r="AH54" s="33">
        <f>AG54*(1-הנחות!B10)+AH37</f>
        <v>0</v>
      </c>
      <c r="AI54" s="33">
        <f>AH54*(1-הנחות!B10)+AI37</f>
        <v>0</v>
      </c>
      <c r="AJ54" s="33">
        <f>AI54*(1-הנחות!B10)+AJ37</f>
        <v>0</v>
      </c>
      <c r="AK54" s="33">
        <f>AJ54*(1-הנחות!B10)+AK37</f>
        <v>0</v>
      </c>
      <c r="AL54" s="33">
        <f>AK54*(1-הנחות!B10)+AL37</f>
        <v>10</v>
      </c>
      <c r="AM54" s="33">
        <f>AL54*(1-הנחות!B10)+AM37</f>
        <v>19.920000000000002</v>
      </c>
      <c r="AN54" s="33">
        <f>AM54*(1-הנחות!B10)+AN37</f>
        <v>29.760640000000002</v>
      </c>
      <c r="AO54" s="33">
        <f>AN54*(1-הנחות!B10)+AO37</f>
        <v>39.522554880000001</v>
      </c>
      <c r="AP54" s="33">
        <f>AO54*(1-הנחות!B10)+AP37</f>
        <v>49.206374440959998</v>
      </c>
      <c r="AQ54" s="33">
        <f>AP54*(1-הנחות!B10)+AQ37</f>
        <v>58.812723445432319</v>
      </c>
      <c r="AR54" s="33">
        <f>AQ54*(1-הנחות!B10)+AR37</f>
        <v>68.342221657868862</v>
      </c>
      <c r="AS54" s="33">
        <f>AR54*(1-הנחות!B10)+AS37</f>
        <v>77.795483884605915</v>
      </c>
      <c r="AT54" s="33">
        <f>AS54*(1-הנחות!B10)+AT37</f>
        <v>87.173120013529072</v>
      </c>
      <c r="AU54" s="33">
        <f>AT54*(1-הנחות!B10)+AU37</f>
        <v>96.475735053420834</v>
      </c>
      <c r="AV54" s="33">
        <f>AU54*(1-הנחות!B10)+AV37</f>
        <v>105.70392917299347</v>
      </c>
      <c r="AW54" s="33">
        <f>AV54*(1-הנחות!B10)+AW37</f>
        <v>114.85829773960953</v>
      </c>
      <c r="AX54" s="33">
        <f>AW54*(1-הנחות!B10)+AX37</f>
        <v>113.93943135769265</v>
      </c>
      <c r="AY54" s="33">
        <f>AX54*(1-הנחות!B10)+AY37</f>
        <v>113.02791590683111</v>
      </c>
      <c r="AZ54" s="33">
        <f>AY54*(1-הנחות!B10)+AZ37</f>
        <v>112.12369257957646</v>
      </c>
      <c r="BA54" s="33">
        <f>AZ54*(1-הנחות!B10)+BA37</f>
        <v>111.22670303893985</v>
      </c>
      <c r="BB54" s="33">
        <f>BA54*(1-הנחות!B10)+BB37</f>
        <v>110.33688941462833</v>
      </c>
      <c r="BC54" s="33">
        <f>BB54*(1-הנחות!B10)+BC37</f>
        <v>109.4541942993113</v>
      </c>
      <c r="BD54" s="33">
        <f>BC54*(1-הנחות!B10)+BD37</f>
        <v>108.5785607449168</v>
      </c>
      <c r="BE54" s="33">
        <f>BD54*(1-הנחות!B10)+BE37</f>
        <v>107.70993225895747</v>
      </c>
      <c r="BF54" s="33">
        <f>BE54*(1-הנחות!B10)+BF37</f>
        <v>106.8482528008858</v>
      </c>
      <c r="BG54" s="33">
        <f>BF54*(1-הנחות!B10)+BG37</f>
        <v>105.99346677847872</v>
      </c>
      <c r="BH54" s="33">
        <f>BG54*(1-הנחות!B10)+BH37</f>
        <v>105.14551904425089</v>
      </c>
      <c r="BI54" s="33">
        <f>BH54*(1-הנחות!B10)+BI37</f>
        <v>104.30435489189688</v>
      </c>
    </row>
    <row r="55" spans="1:61" x14ac:dyDescent="0.25">
      <c r="A55" s="31" t="s">
        <v>188</v>
      </c>
      <c r="B55" s="33">
        <f t="shared" si="28"/>
        <v>0</v>
      </c>
      <c r="C55" s="33">
        <f>B55*(1-הנחות!B10)+C38</f>
        <v>0</v>
      </c>
      <c r="D55" s="33">
        <f>C55*(1-הנחות!B10)+D38</f>
        <v>0</v>
      </c>
      <c r="E55" s="33">
        <f>D55*(1-הנחות!B10)+E38</f>
        <v>0</v>
      </c>
      <c r="F55" s="33">
        <f>E55*(1-הנחות!B10)+F38</f>
        <v>0</v>
      </c>
      <c r="G55" s="33">
        <f>F55*(1-הנחות!B10)+G38</f>
        <v>0</v>
      </c>
      <c r="H55" s="33">
        <f>G55*(1-הנחות!B10)+H38</f>
        <v>0</v>
      </c>
      <c r="I55" s="33">
        <f>H55*(1-הנחות!B10)+I38</f>
        <v>0</v>
      </c>
      <c r="J55" s="33">
        <f>I55*(1-הנחות!B10)+J38</f>
        <v>0</v>
      </c>
      <c r="K55" s="33">
        <f>J55*(1-הנחות!B10)+K38</f>
        <v>0</v>
      </c>
      <c r="L55" s="33">
        <f>K55*(1-הנחות!B10)+L38</f>
        <v>0</v>
      </c>
      <c r="M55" s="33">
        <f>L55*(1-הנחות!B10)+M38</f>
        <v>0</v>
      </c>
      <c r="N55" s="33">
        <f>M55*(1-הנחות!B10)+N38</f>
        <v>0</v>
      </c>
      <c r="O55" s="33">
        <f>N55*(1-הנחות!B10)+O38</f>
        <v>0</v>
      </c>
      <c r="P55" s="33">
        <f>O55*(1-הנחות!B10)+P38</f>
        <v>0</v>
      </c>
      <c r="Q55" s="33">
        <f>P55*(1-הנחות!B10)+Q38</f>
        <v>0</v>
      </c>
      <c r="R55" s="33">
        <f>Q55*(1-הנחות!B10)+R38</f>
        <v>0</v>
      </c>
      <c r="S55" s="33">
        <f>R55*(1-הנחות!B10)+S38</f>
        <v>0</v>
      </c>
      <c r="T55" s="33">
        <f>S55*(1-הנחות!B10)+T38</f>
        <v>0</v>
      </c>
      <c r="U55" s="33">
        <f>T55*(1-הנחות!B10)+U38</f>
        <v>0</v>
      </c>
      <c r="V55" s="33">
        <f>U55*(1-הנחות!B10)+V38</f>
        <v>0</v>
      </c>
      <c r="W55" s="33">
        <f>V55*(1-הנחות!B10)+W38</f>
        <v>0</v>
      </c>
      <c r="X55" s="33">
        <f>W55*(1-הנחות!B10)+X38</f>
        <v>0</v>
      </c>
      <c r="Y55" s="33">
        <f>X55*(1-הנחות!B10)+Y38</f>
        <v>0</v>
      </c>
      <c r="Z55" s="33">
        <f>Y55*(1-הנחות!B10)+Z38</f>
        <v>0</v>
      </c>
      <c r="AA55" s="33">
        <f>Z55*(1-הנחות!B10)+AA38</f>
        <v>0</v>
      </c>
      <c r="AB55" s="33">
        <f>AA55*(1-הנחות!B10)+AB38</f>
        <v>0</v>
      </c>
      <c r="AC55" s="33">
        <f>AB55*(1-הנחות!B10)+AC38</f>
        <v>0</v>
      </c>
      <c r="AD55" s="33">
        <f>AC55*(1-הנחות!B10)+AD38</f>
        <v>0</v>
      </c>
      <c r="AE55" s="33">
        <f>AD55*(1-הנחות!B10)+AE38</f>
        <v>0</v>
      </c>
      <c r="AF55" s="33">
        <f>AE55*(1-הנחות!B10)+AF38</f>
        <v>0</v>
      </c>
      <c r="AG55" s="33">
        <f>AF55*(1-הנחות!B10)+AG38</f>
        <v>0</v>
      </c>
      <c r="AH55" s="33">
        <f>AG55*(1-הנחות!B10)+AH38</f>
        <v>0</v>
      </c>
      <c r="AI55" s="33">
        <f>AH55*(1-הנחות!B10)+AI38</f>
        <v>0</v>
      </c>
      <c r="AJ55" s="33">
        <f>AI55*(1-הנחות!B10)+AJ38</f>
        <v>0</v>
      </c>
      <c r="AK55" s="33">
        <f>AJ55*(1-הנחות!B10)+AK38</f>
        <v>0</v>
      </c>
      <c r="AL55" s="33">
        <f>AK55*(1-הנחות!B10)+AL38</f>
        <v>0</v>
      </c>
      <c r="AM55" s="33">
        <f>AL55*(1-הנחות!B10)+AM38</f>
        <v>0</v>
      </c>
      <c r="AN55" s="33">
        <f>AM55*(1-הנחות!B10)+AN38</f>
        <v>0</v>
      </c>
      <c r="AO55" s="33">
        <f>AN55*(1-הנחות!B10)+AO38</f>
        <v>0</v>
      </c>
      <c r="AP55" s="33">
        <f>AO55*(1-הנחות!B10)+AP38</f>
        <v>0</v>
      </c>
      <c r="AQ55" s="33">
        <f>AP55*(1-הנחות!B10)+AQ38</f>
        <v>0</v>
      </c>
      <c r="AR55" s="33">
        <f>AQ55*(1-הנחות!B10)+AR38</f>
        <v>0</v>
      </c>
      <c r="AS55" s="33">
        <f>AR55*(1-הנחות!B10)+AS38</f>
        <v>0</v>
      </c>
      <c r="AT55" s="33">
        <f>AS55*(1-הנחות!B10)+AT38</f>
        <v>0</v>
      </c>
      <c r="AU55" s="33">
        <f>AT55*(1-הנחות!B10)+AU38</f>
        <v>0</v>
      </c>
      <c r="AV55" s="33">
        <f>AU55*(1-הנחות!B10)+AV38</f>
        <v>0</v>
      </c>
      <c r="AW55" s="33">
        <f>AV55*(1-הנחות!B10)+AW38</f>
        <v>0</v>
      </c>
      <c r="AX55" s="33">
        <f>AW55*(1-הנחות!B10)+AX38</f>
        <v>10</v>
      </c>
      <c r="AY55" s="33">
        <f>AX55*(1-הנחות!B10)+AY38</f>
        <v>19.920000000000002</v>
      </c>
      <c r="AZ55" s="33">
        <f>AY55*(1-הנחות!B10)+AZ38</f>
        <v>29.760640000000002</v>
      </c>
      <c r="BA55" s="33">
        <f>AZ55*(1-הנחות!B10)+BA38</f>
        <v>39.522554880000001</v>
      </c>
      <c r="BB55" s="33">
        <f>BA55*(1-הנחות!B10)+BB38</f>
        <v>49.206374440959998</v>
      </c>
      <c r="BC55" s="33">
        <f>BB55*(1-הנחות!B10)+BC38</f>
        <v>58.812723445432319</v>
      </c>
      <c r="BD55" s="33">
        <f>BC55*(1-הנחות!B10)+BD38</f>
        <v>68.342221657868862</v>
      </c>
      <c r="BE55" s="33">
        <f>BD55*(1-הנחות!B10)+BE38</f>
        <v>77.795483884605915</v>
      </c>
      <c r="BF55" s="33">
        <f>BE55*(1-הנחות!B10)+BF38</f>
        <v>87.173120013529072</v>
      </c>
      <c r="BG55" s="33">
        <f>BF55*(1-הנחות!B10)+BG38</f>
        <v>96.475735053420834</v>
      </c>
      <c r="BH55" s="33">
        <f>BG55*(1-הנחות!B10)+BH38</f>
        <v>105.70392917299347</v>
      </c>
      <c r="BI55" s="33">
        <f>BH55*(1-הנחות!B10)+BI38</f>
        <v>114.85829773960953</v>
      </c>
    </row>
    <row r="56" spans="1:61" x14ac:dyDescent="0.25">
      <c r="A56" s="31" t="s">
        <v>189</v>
      </c>
      <c r="B56" s="33">
        <f t="shared" si="28"/>
        <v>0</v>
      </c>
      <c r="C56" s="33">
        <f>B56*(1-הנחות!C10)+C39</f>
        <v>0</v>
      </c>
      <c r="D56" s="33">
        <f>C56*(1-הנחות!C10)+D39</f>
        <v>0</v>
      </c>
      <c r="E56" s="33">
        <f>D56*(1-הנחות!C10)+E39</f>
        <v>0</v>
      </c>
      <c r="F56" s="33">
        <f>E56*(1-הנחות!C10)+F39</f>
        <v>0</v>
      </c>
      <c r="G56" s="33">
        <f>F56*(1-הנחות!C10)+G39</f>
        <v>0.7142857142857143</v>
      </c>
      <c r="H56" s="33">
        <f>G56*(1-הנחות!C10)+H39</f>
        <v>1.4257142857142857</v>
      </c>
      <c r="I56" s="33">
        <f>H56*(1-הנחות!C10)+I39</f>
        <v>2.1342971428571427</v>
      </c>
      <c r="J56" s="33">
        <f>I56*(1-הנחות!C10)+J39</f>
        <v>2.8400456685714284</v>
      </c>
      <c r="K56" s="33">
        <f>J56*(1-הנחות!C10)+K39</f>
        <v>3.5429712001828571</v>
      </c>
      <c r="L56" s="33">
        <f>K56*(1-הנחות!C10)+L39</f>
        <v>4.2430850296678395</v>
      </c>
      <c r="M56" s="33">
        <f>L56*(1-הנחות!C10)+M39</f>
        <v>4.9403984038348829</v>
      </c>
      <c r="N56" s="33">
        <f>M56*(1-הנחות!C10)+N39</f>
        <v>4.920636810219543</v>
      </c>
      <c r="O56" s="33">
        <f>N56*(1-הנחות!C10)+O39</f>
        <v>4.9009542629786651</v>
      </c>
      <c r="P56" s="33">
        <f>O56*(1-הנחות!C10)+P39</f>
        <v>4.88135044592675</v>
      </c>
      <c r="Q56" s="33">
        <f>P56*(1-הנחות!C10)+Q39</f>
        <v>4.8618250441430426</v>
      </c>
      <c r="R56" s="33">
        <f>Q56*(1-הנחות!C10)+R39</f>
        <v>4.8423777439664706</v>
      </c>
      <c r="S56" s="33">
        <f>R56*(1-הנחות!C10)+S39</f>
        <v>4.8230082329906043</v>
      </c>
      <c r="T56" s="33">
        <f>S56*(1-הנחות!C10)+T39</f>
        <v>4.8037162000586422</v>
      </c>
      <c r="U56" s="33">
        <f>T56*(1-הנחות!C10)+U39</f>
        <v>4.7845013352584074</v>
      </c>
      <c r="V56" s="33">
        <f>U56*(1-הנחות!C10)+V39</f>
        <v>4.7653633299173741</v>
      </c>
      <c r="W56" s="33">
        <f>V56*(1-הנחות!C10)+W39</f>
        <v>4.7463018765977045</v>
      </c>
      <c r="X56" s="33">
        <f>W56*(1-הנחות!C10)+X39</f>
        <v>4.727316669091314</v>
      </c>
      <c r="Y56" s="33">
        <f>X56*(1-הנחות!C10)+Y39</f>
        <v>4.7084074024149487</v>
      </c>
      <c r="Z56" s="33">
        <f>Y56*(1-הנחות!C10)+Z39</f>
        <v>4.6895737728052893</v>
      </c>
      <c r="AA56" s="33">
        <f>Z56*(1-הנחות!C10)+AA39</f>
        <v>4.6708154777140685</v>
      </c>
      <c r="AB56" s="33">
        <f>AA56*(1-הנחות!C10)+AB39</f>
        <v>4.6521322158032126</v>
      </c>
      <c r="AC56" s="33">
        <f>AB56*(1-הנחות!C10)+AC39</f>
        <v>4.6335236869399994</v>
      </c>
      <c r="AD56" s="33">
        <f>AC56*(1-הנחות!C10)+AD39</f>
        <v>4.6149895921922397</v>
      </c>
      <c r="AE56" s="33">
        <f>AD56*(1-הנחות!C10)+AE39</f>
        <v>4.5965296338234705</v>
      </c>
      <c r="AF56" s="33">
        <f>AE56*(1-הנחות!C10)+AF39</f>
        <v>4.5781435152881764</v>
      </c>
      <c r="AG56" s="33">
        <f>AF56*(1-הנחות!C10)+AG39</f>
        <v>4.5598309412270233</v>
      </c>
      <c r="AH56" s="33">
        <f>AG56*(1-הנחות!C10)+AH39</f>
        <v>4.5415916174621156</v>
      </c>
      <c r="AI56" s="33">
        <f>AH56*(1-הנחות!C10)+AI39</f>
        <v>4.5234252509922674</v>
      </c>
      <c r="AJ56" s="33">
        <f>AI56*(1-הנחות!C10)+AJ39</f>
        <v>4.5053315499882984</v>
      </c>
      <c r="AK56" s="33">
        <f>AJ56*(1-הנחות!C10)+AK39</f>
        <v>4.4873102237883451</v>
      </c>
      <c r="AL56" s="33">
        <f>AK56*(1-הנחות!C10)+AL39</f>
        <v>4.4693609828931917</v>
      </c>
      <c r="AM56" s="33">
        <f>AL56*(1-הנחות!C10)+AM39</f>
        <v>4.451483538961619</v>
      </c>
      <c r="AN56" s="33">
        <f>AM56*(1-הנחות!C10)+AN39</f>
        <v>4.4336776048057729</v>
      </c>
      <c r="AO56" s="33">
        <f>AN56*(1-הנחות!C10)+AO39</f>
        <v>4.41594289438655</v>
      </c>
      <c r="AP56" s="33">
        <f>AO56*(1-הנחות!C10)+AP39</f>
        <v>4.3982791228090035</v>
      </c>
      <c r="AQ56" s="33">
        <f>AP56*(1-הנחות!C10)+AQ39</f>
        <v>4.3806860063177675</v>
      </c>
      <c r="AR56" s="33">
        <f>AQ56*(1-הנחות!C10)+AR39</f>
        <v>4.3631632622924963</v>
      </c>
      <c r="AS56" s="33">
        <f>AR56*(1-הנחות!C10)+AS39</f>
        <v>4.3457106092433264</v>
      </c>
      <c r="AT56" s="33">
        <f>AS56*(1-הנחות!C10)+AT39</f>
        <v>4.3283277668063533</v>
      </c>
      <c r="AU56" s="33">
        <f>AT56*(1-הנחות!C10)+AU39</f>
        <v>4.3110144557391283</v>
      </c>
      <c r="AV56" s="33">
        <f>AU56*(1-הנחות!C10)+AV39</f>
        <v>4.2937703979161714</v>
      </c>
      <c r="AW56" s="33">
        <f>AV56*(1-הנחות!C10)+AW39</f>
        <v>4.2765953163245065</v>
      </c>
      <c r="AX56" s="33">
        <f>AW56*(1-הנחות!C10)+AX39</f>
        <v>4.2594889350592089</v>
      </c>
      <c r="AY56" s="33">
        <f>AX56*(1-הנחות!C10)+AY39</f>
        <v>4.2424509793189724</v>
      </c>
      <c r="AZ56" s="33">
        <f>AY56*(1-הנחות!C10)+AZ39</f>
        <v>4.2254811754016961</v>
      </c>
      <c r="BA56" s="33">
        <f>AZ56*(1-הנחות!C10)+BA39</f>
        <v>4.2085792507000894</v>
      </c>
      <c r="BB56" s="33">
        <f>BA56*(1-הנחות!C10)+BB39</f>
        <v>4.1917449336972892</v>
      </c>
      <c r="BC56" s="33">
        <f>BB56*(1-הנחות!C10)+BC39</f>
        <v>4.1749779539625003</v>
      </c>
      <c r="BD56" s="33">
        <f>BC56*(1-הנחות!C10)+BD39</f>
        <v>4.1582780421466499</v>
      </c>
      <c r="BE56" s="33">
        <f>BD56*(1-הנחות!C10)+BE39</f>
        <v>4.1416449299780629</v>
      </c>
      <c r="BF56" s="33">
        <f>BE56*(1-הנחות!C10)+BF39</f>
        <v>4.1250783502581507</v>
      </c>
      <c r="BG56" s="33">
        <f>BF56*(1-הנחות!C10)+BG39</f>
        <v>4.1085780368571179</v>
      </c>
      <c r="BH56" s="33">
        <f>BG56*(1-הנחות!C10)+BH39</f>
        <v>4.0921437247096897</v>
      </c>
      <c r="BI56" s="33">
        <f>BH56*(1-הנחות!C10)+BI39</f>
        <v>4.075775149810851</v>
      </c>
    </row>
    <row r="57" spans="1:61" x14ac:dyDescent="0.25">
      <c r="A57" s="31" t="s">
        <v>190</v>
      </c>
      <c r="B57" s="33">
        <f t="shared" si="28"/>
        <v>0</v>
      </c>
      <c r="C57" s="33">
        <f>B57*(1-הנחות!C10)+C40</f>
        <v>0</v>
      </c>
      <c r="D57" s="33">
        <f>C57*(1-הנחות!C10)+D40</f>
        <v>0</v>
      </c>
      <c r="E57" s="33">
        <f>D57*(1-הנחות!C10)+E40</f>
        <v>0</v>
      </c>
      <c r="F57" s="33">
        <f>E57*(1-הנחות!C10)+F40</f>
        <v>0</v>
      </c>
      <c r="G57" s="33">
        <f>F57*(1-הנחות!C10)+G40</f>
        <v>0</v>
      </c>
      <c r="H57" s="33">
        <f>G57*(1-הנחות!C10)+H40</f>
        <v>0</v>
      </c>
      <c r="I57" s="33">
        <f>H57*(1-הנחות!C10)+I40</f>
        <v>0</v>
      </c>
      <c r="J57" s="33">
        <f>I57*(1-הנחות!C10)+J40</f>
        <v>0</v>
      </c>
      <c r="K57" s="33">
        <f>J57*(1-הנחות!C10)+K40</f>
        <v>0</v>
      </c>
      <c r="L57" s="33">
        <f>K57*(1-הנחות!C10)+L40</f>
        <v>0</v>
      </c>
      <c r="M57" s="33">
        <f>L57*(1-הנחות!C10)+M40</f>
        <v>0</v>
      </c>
      <c r="N57" s="33">
        <f>M57*(1-הנחות!C10)+N40</f>
        <v>2.0833333333333335</v>
      </c>
      <c r="O57" s="33">
        <f>N57*(1-הנחות!C10)+O40</f>
        <v>4.1583333333333332</v>
      </c>
      <c r="P57" s="33">
        <f>O57*(1-הנחות!C10)+P40</f>
        <v>6.2250333333333341</v>
      </c>
      <c r="Q57" s="33">
        <f>P57*(1-הנחות!C10)+Q40</f>
        <v>8.2834665333333337</v>
      </c>
      <c r="R57" s="33">
        <f>Q57*(1-הנחות!C10)+R40</f>
        <v>10.333666000533334</v>
      </c>
      <c r="S57" s="33">
        <f>R57*(1-הנחות!C10)+S40</f>
        <v>12.375664669864534</v>
      </c>
      <c r="T57" s="33">
        <f>S57*(1-הנחות!C10)+T40</f>
        <v>14.40949534451841</v>
      </c>
      <c r="U57" s="33">
        <f>T57*(1-הנחות!C10)+U40</f>
        <v>16.435190696473668</v>
      </c>
      <c r="V57" s="33">
        <f>U57*(1-הנחות!C10)+V40</f>
        <v>18.452783267021108</v>
      </c>
      <c r="W57" s="33">
        <f>V57*(1-הנחות!C10)+W40</f>
        <v>20.462305467286356</v>
      </c>
      <c r="X57" s="33">
        <f>W57*(1-הנחות!C10)+X40</f>
        <v>22.463789578750543</v>
      </c>
      <c r="Y57" s="33">
        <f>X57*(1-הנחות!C10)+Y40</f>
        <v>24.457267753768871</v>
      </c>
      <c r="Z57" s="33">
        <f>Y57*(1-הנחות!C10)+Z40</f>
        <v>24.359438682753794</v>
      </c>
      <c r="AA57" s="33">
        <f>Z57*(1-הנחות!C10)+AA40</f>
        <v>24.262000928022779</v>
      </c>
      <c r="AB57" s="33">
        <f>AA57*(1-הנחות!C10)+AB40</f>
        <v>24.164952924310686</v>
      </c>
      <c r="AC57" s="33">
        <f>AB57*(1-הנחות!C10)+AC40</f>
        <v>24.068293112613443</v>
      </c>
      <c r="AD57" s="33">
        <f>AC57*(1-הנחות!C10)+AD40</f>
        <v>23.972019940162991</v>
      </c>
      <c r="AE57" s="33">
        <f>AD57*(1-הנחות!C10)+AE40</f>
        <v>23.876131860402339</v>
      </c>
      <c r="AF57" s="33">
        <f>AE57*(1-הנחות!C10)+AF40</f>
        <v>23.78062733296073</v>
      </c>
      <c r="AG57" s="33">
        <f>AF57*(1-הנחות!C10)+AG40</f>
        <v>23.685504823628886</v>
      </c>
      <c r="AH57" s="33">
        <f>AG57*(1-הנחות!C10)+AH40</f>
        <v>23.590762804334371</v>
      </c>
      <c r="AI57" s="33">
        <f>AH57*(1-הנחות!C10)+AI40</f>
        <v>23.496399753117032</v>
      </c>
      <c r="AJ57" s="33">
        <f>AI57*(1-הנחות!C10)+AJ40</f>
        <v>23.402414154104562</v>
      </c>
      <c r="AK57" s="33">
        <f>AJ57*(1-הנחות!C10)+AK40</f>
        <v>23.308804497488143</v>
      </c>
      <c r="AL57" s="33">
        <f>AK57*(1-הנחות!C10)+AL40</f>
        <v>23.21556927949819</v>
      </c>
      <c r="AM57" s="33">
        <f>AL57*(1-הנחות!C10)+AM40</f>
        <v>23.122707002380196</v>
      </c>
      <c r="AN57" s="33">
        <f>AM57*(1-הנחות!C10)+AN40</f>
        <v>23.030216174370675</v>
      </c>
      <c r="AO57" s="33">
        <f>AN57*(1-הנחות!C10)+AO40</f>
        <v>22.938095309673194</v>
      </c>
      <c r="AP57" s="33">
        <f>AO57*(1-הנחות!C10)+AP40</f>
        <v>22.846342928434503</v>
      </c>
      <c r="AQ57" s="33">
        <f>AP57*(1-הנחות!C10)+AQ40</f>
        <v>22.754957556720765</v>
      </c>
      <c r="AR57" s="33">
        <f>AQ57*(1-הנחות!C10)+AR40</f>
        <v>22.663937726493881</v>
      </c>
      <c r="AS57" s="33">
        <f>AR57*(1-הנחות!C10)+AS40</f>
        <v>22.573281975587904</v>
      </c>
      <c r="AT57" s="33">
        <f>AS57*(1-הנחות!C10)+AT40</f>
        <v>22.482988847685551</v>
      </c>
      <c r="AU57" s="33">
        <f>AT57*(1-הנחות!C10)+AU40</f>
        <v>22.393056892294808</v>
      </c>
      <c r="AV57" s="33">
        <f>AU57*(1-הנחות!C10)+AV40</f>
        <v>22.30348466472563</v>
      </c>
      <c r="AW57" s="33">
        <f>AV57*(1-הנחות!C10)+AW40</f>
        <v>22.214270726066726</v>
      </c>
      <c r="AX57" s="33">
        <f>AW57*(1-הנחות!C10)+AX40</f>
        <v>22.12541364316246</v>
      </c>
      <c r="AY57" s="33">
        <f>AX57*(1-הנחות!C10)+AY40</f>
        <v>22.036911988589811</v>
      </c>
      <c r="AZ57" s="33">
        <f>AY57*(1-הנחות!C10)+AZ40</f>
        <v>21.948764340635453</v>
      </c>
      <c r="BA57" s="33">
        <f>AZ57*(1-הנחות!C10)+BA40</f>
        <v>21.860969283272912</v>
      </c>
      <c r="BB57" s="33">
        <f>BA57*(1-הנחות!C10)+BB40</f>
        <v>21.773525406139822</v>
      </c>
      <c r="BC57" s="33">
        <f>BB57*(1-הנחות!C10)+BC40</f>
        <v>21.686431304515263</v>
      </c>
      <c r="BD57" s="33">
        <f>BC57*(1-הנחות!C10)+BD40</f>
        <v>21.599685579297201</v>
      </c>
      <c r="BE57" s="33">
        <f>BD57*(1-הנחות!C10)+BE40</f>
        <v>21.513286836980011</v>
      </c>
      <c r="BF57" s="33">
        <f>BE57*(1-הנחות!C10)+BF40</f>
        <v>21.427233689632093</v>
      </c>
      <c r="BG57" s="33">
        <f>BF57*(1-הנחות!C10)+BG40</f>
        <v>21.341524754873564</v>
      </c>
      <c r="BH57" s="33">
        <f>BG57*(1-הנחות!C10)+BH40</f>
        <v>21.256158655854069</v>
      </c>
      <c r="BI57" s="33">
        <f>BH57*(1-הנחות!C10)+BI40</f>
        <v>21.171134021230653</v>
      </c>
    </row>
    <row r="58" spans="1:61" x14ac:dyDescent="0.25">
      <c r="A58" s="31" t="s">
        <v>191</v>
      </c>
      <c r="B58" s="33">
        <f t="shared" si="28"/>
        <v>0</v>
      </c>
      <c r="C58" s="33">
        <f>B58*(1-הנחות!C10)+C41</f>
        <v>0</v>
      </c>
      <c r="D58" s="33">
        <f>C58*(1-הנחות!C10)+D41</f>
        <v>0</v>
      </c>
      <c r="E58" s="33">
        <f>D58*(1-הנחות!C10)+E41</f>
        <v>0</v>
      </c>
      <c r="F58" s="33">
        <f>E58*(1-הנחות!C10)+F41</f>
        <v>0</v>
      </c>
      <c r="G58" s="33">
        <f>F58*(1-הנחות!C10)+G41</f>
        <v>0</v>
      </c>
      <c r="H58" s="33">
        <f>G58*(1-הנחות!C10)+H41</f>
        <v>0</v>
      </c>
      <c r="I58" s="33">
        <f>H58*(1-הנחות!C10)+I41</f>
        <v>0</v>
      </c>
      <c r="J58" s="33">
        <f>I58*(1-הנחות!C10)+J41</f>
        <v>0</v>
      </c>
      <c r="K58" s="33">
        <f>J58*(1-הנחות!C10)+K41</f>
        <v>0</v>
      </c>
      <c r="L58" s="33">
        <f>K58*(1-הנחות!C10)+L41</f>
        <v>0</v>
      </c>
      <c r="M58" s="33">
        <f>L58*(1-הנחות!C10)+M41</f>
        <v>0</v>
      </c>
      <c r="N58" s="33">
        <f>M58*(1-הנחות!C10)+N41</f>
        <v>0</v>
      </c>
      <c r="O58" s="33">
        <f>N58*(1-הנחות!C10)+O41</f>
        <v>0</v>
      </c>
      <c r="P58" s="33">
        <f>O58*(1-הנחות!C10)+P41</f>
        <v>0</v>
      </c>
      <c r="Q58" s="33">
        <f>P58*(1-הנחות!C10)+Q41</f>
        <v>0</v>
      </c>
      <c r="R58" s="33">
        <f>Q58*(1-הנחות!C10)+R41</f>
        <v>0</v>
      </c>
      <c r="S58" s="33">
        <f>R58*(1-הנחות!C10)+S41</f>
        <v>0</v>
      </c>
      <c r="T58" s="33">
        <f>S58*(1-הנחות!C10)+T41</f>
        <v>0</v>
      </c>
      <c r="U58" s="33">
        <f>T58*(1-הנחות!C10)+U41</f>
        <v>0</v>
      </c>
      <c r="V58" s="33">
        <f>U58*(1-הנחות!C10)+V41</f>
        <v>0</v>
      </c>
      <c r="W58" s="33">
        <f>V58*(1-הנחות!C10)+W41</f>
        <v>0</v>
      </c>
      <c r="X58" s="33">
        <f>W58*(1-הנחות!C10)+X41</f>
        <v>0</v>
      </c>
      <c r="Y58" s="33">
        <f>X58*(1-הנחות!C10)+Y41</f>
        <v>0</v>
      </c>
      <c r="Z58" s="33">
        <f>Y58*(1-הנחות!C10)+Z41</f>
        <v>2.5</v>
      </c>
      <c r="AA58" s="33">
        <f>Z58*(1-הנחות!C10)+AA41</f>
        <v>4.99</v>
      </c>
      <c r="AB58" s="33">
        <f>AA58*(1-הנחות!C10)+AB41</f>
        <v>7.47004</v>
      </c>
      <c r="AC58" s="33">
        <f>AB58*(1-הנחות!C10)+AC41</f>
        <v>9.9401598399999997</v>
      </c>
      <c r="AD58" s="33">
        <f>AC58*(1-הנחות!C10)+AD41</f>
        <v>12.400399200639999</v>
      </c>
      <c r="AE58" s="33">
        <f>AD58*(1-הנחות!C10)+AE41</f>
        <v>14.850797603837439</v>
      </c>
      <c r="AF58" s="33">
        <f>AE58*(1-הנחות!C10)+AF41</f>
        <v>17.29139441342209</v>
      </c>
      <c r="AG58" s="33">
        <f>AF58*(1-הנחות!C10)+AG41</f>
        <v>19.722228835768401</v>
      </c>
      <c r="AH58" s="33">
        <f>AG58*(1-הנחות!C10)+AH41</f>
        <v>22.143339920425326</v>
      </c>
      <c r="AI58" s="33">
        <f>AH58*(1-הנחות!C10)+AI41</f>
        <v>24.554766560743627</v>
      </c>
      <c r="AJ58" s="33">
        <f>AI58*(1-הנחות!C10)+AJ41</f>
        <v>26.956547494500651</v>
      </c>
      <c r="AK58" s="33">
        <f>AJ58*(1-הנחות!C10)+AK41</f>
        <v>29.348721304522648</v>
      </c>
      <c r="AL58" s="33">
        <f>AK58*(1-הנחות!C10)+AL41</f>
        <v>29.231326419304558</v>
      </c>
      <c r="AM58" s="33">
        <f>AL58*(1-הנחות!C10)+AM41</f>
        <v>29.114401113627341</v>
      </c>
      <c r="AN58" s="33">
        <f>AM58*(1-הנחות!C10)+AN41</f>
        <v>28.997943509172831</v>
      </c>
      <c r="AO58" s="33">
        <f>AN58*(1-הנחות!C10)+AO41</f>
        <v>28.881951735136141</v>
      </c>
      <c r="AP58" s="33">
        <f>AO58*(1-הנחות!C10)+AP41</f>
        <v>28.766423928195596</v>
      </c>
      <c r="AQ58" s="33">
        <f>AP58*(1-הנחות!C10)+AQ41</f>
        <v>28.651358232482814</v>
      </c>
      <c r="AR58" s="33">
        <f>AQ58*(1-הנחות!C10)+AR41</f>
        <v>28.536752799552882</v>
      </c>
      <c r="AS58" s="33">
        <f>AR58*(1-הנחות!C10)+AS41</f>
        <v>28.422605788354669</v>
      </c>
      <c r="AT58" s="33">
        <f>AS58*(1-הנחות!C10)+AT41</f>
        <v>28.308915365201251</v>
      </c>
      <c r="AU58" s="33">
        <f>AT58*(1-הנחות!C10)+AU41</f>
        <v>28.195679703740446</v>
      </c>
      <c r="AV58" s="33">
        <f>AU58*(1-הנחות!C10)+AV41</f>
        <v>28.082896984925483</v>
      </c>
      <c r="AW58" s="33">
        <f>AV58*(1-הנחות!C10)+AW41</f>
        <v>27.97056539698578</v>
      </c>
      <c r="AX58" s="33">
        <f>AW58*(1-הנחות!C10)+AX41</f>
        <v>27.858683135397836</v>
      </c>
      <c r="AY58" s="33">
        <f>AX58*(1-הנחות!C10)+AY41</f>
        <v>27.747248402856243</v>
      </c>
      <c r="AZ58" s="33">
        <f>AY58*(1-הנחות!C10)+AZ41</f>
        <v>27.636259409244818</v>
      </c>
      <c r="BA58" s="33">
        <f>AZ58*(1-הנחות!C10)+BA41</f>
        <v>27.52571437160784</v>
      </c>
      <c r="BB58" s="33">
        <f>BA58*(1-הנחות!C10)+BB41</f>
        <v>27.415611514121409</v>
      </c>
      <c r="BC58" s="33">
        <f>BB58*(1-הנחות!C10)+BC41</f>
        <v>27.305949068064923</v>
      </c>
      <c r="BD58" s="33">
        <f>BC58*(1-הנחות!C10)+BD41</f>
        <v>27.196725271792662</v>
      </c>
      <c r="BE58" s="33">
        <f>BD58*(1-הנחות!C10)+BE41</f>
        <v>27.087938370705491</v>
      </c>
      <c r="BF58" s="33">
        <f>BE58*(1-הנחות!C10)+BF41</f>
        <v>26.979586617222669</v>
      </c>
      <c r="BG58" s="33">
        <f>BF58*(1-הנחות!C10)+BG41</f>
        <v>26.871668270753776</v>
      </c>
      <c r="BH58" s="33">
        <f>BG58*(1-הנחות!C10)+BH41</f>
        <v>26.76418159767076</v>
      </c>
      <c r="BI58" s="33">
        <f>BH58*(1-הנחות!C10)+BI41</f>
        <v>26.657124871280075</v>
      </c>
    </row>
    <row r="59" spans="1:61" x14ac:dyDescent="0.25">
      <c r="A59" s="31" t="s">
        <v>192</v>
      </c>
      <c r="B59" s="33">
        <f t="shared" si="28"/>
        <v>0</v>
      </c>
      <c r="C59" s="33">
        <f>B59*(1-הנחות!C10)+C42</f>
        <v>0</v>
      </c>
      <c r="D59" s="33">
        <f>C59*(1-הנחות!C10)+D42</f>
        <v>0</v>
      </c>
      <c r="E59" s="33">
        <f>D59*(1-הנחות!C10)+E42</f>
        <v>0</v>
      </c>
      <c r="F59" s="33">
        <f>E59*(1-הנחות!C10)+F42</f>
        <v>0</v>
      </c>
      <c r="G59" s="33">
        <f>F59*(1-הנחות!C10)+G42</f>
        <v>0</v>
      </c>
      <c r="H59" s="33">
        <f>G59*(1-הנחות!C10)+H42</f>
        <v>0</v>
      </c>
      <c r="I59" s="33">
        <f>H59*(1-הנחות!C10)+I42</f>
        <v>0</v>
      </c>
      <c r="J59" s="33">
        <f>I59*(1-הנחות!C10)+J42</f>
        <v>0</v>
      </c>
      <c r="K59" s="33">
        <f>J59*(1-הנחות!C10)+K42</f>
        <v>0</v>
      </c>
      <c r="L59" s="33">
        <f>K59*(1-הנחות!C10)+L42</f>
        <v>0</v>
      </c>
      <c r="M59" s="33">
        <f>L59*(1-הנחות!C10)+M42</f>
        <v>0</v>
      </c>
      <c r="N59" s="33">
        <f>M59*(1-הנחות!C10)+N42</f>
        <v>0</v>
      </c>
      <c r="O59" s="33">
        <f>N59*(1-הנחות!C10)+O42</f>
        <v>0</v>
      </c>
      <c r="P59" s="33">
        <f>O59*(1-הנחות!C10)+P42</f>
        <v>0</v>
      </c>
      <c r="Q59" s="33">
        <f>P59*(1-הנחות!C10)+Q42</f>
        <v>0</v>
      </c>
      <c r="R59" s="33">
        <f>Q59*(1-הנחות!C10)+R42</f>
        <v>0</v>
      </c>
      <c r="S59" s="33">
        <f>R59*(1-הנחות!C10)+S42</f>
        <v>0</v>
      </c>
      <c r="T59" s="33">
        <f>S59*(1-הנחות!C10)+T42</f>
        <v>0</v>
      </c>
      <c r="U59" s="33">
        <f>T59*(1-הנחות!C10)+U42</f>
        <v>0</v>
      </c>
      <c r="V59" s="33">
        <f>U59*(1-הנחות!C10)+V42</f>
        <v>0</v>
      </c>
      <c r="W59" s="33">
        <f>V59*(1-הנחות!C10)+W42</f>
        <v>0</v>
      </c>
      <c r="X59" s="33">
        <f>W59*(1-הנחות!C10)+X42</f>
        <v>0</v>
      </c>
      <c r="Y59" s="33">
        <f>X59*(1-הנחות!C10)+Y42</f>
        <v>0</v>
      </c>
      <c r="Z59" s="33">
        <f>Y59*(1-הנחות!C10)+Z42</f>
        <v>0</v>
      </c>
      <c r="AA59" s="33">
        <f>Z59*(1-הנחות!C10)+AA42</f>
        <v>0</v>
      </c>
      <c r="AB59" s="33">
        <f>AA59*(1-הנחות!C10)+AB42</f>
        <v>0</v>
      </c>
      <c r="AC59" s="33">
        <f>AB59*(1-הנחות!C10)+AC42</f>
        <v>0</v>
      </c>
      <c r="AD59" s="33">
        <f>AC59*(1-הנחות!C10)+AD42</f>
        <v>0</v>
      </c>
      <c r="AE59" s="33">
        <f>AD59*(1-הנחות!C10)+AE42</f>
        <v>0</v>
      </c>
      <c r="AF59" s="33">
        <f>AE59*(1-הנחות!C10)+AF42</f>
        <v>0</v>
      </c>
      <c r="AG59" s="33">
        <f>AF59*(1-הנחות!C10)+AG42</f>
        <v>0</v>
      </c>
      <c r="AH59" s="33">
        <f>AG59*(1-הנחות!C10)+AH42</f>
        <v>0</v>
      </c>
      <c r="AI59" s="33">
        <f>AH59*(1-הנחות!C10)+AI42</f>
        <v>0</v>
      </c>
      <c r="AJ59" s="33">
        <f>AI59*(1-הנחות!C10)+AJ42</f>
        <v>0</v>
      </c>
      <c r="AK59" s="33">
        <f>AJ59*(1-הנחות!C10)+AK42</f>
        <v>0</v>
      </c>
      <c r="AL59" s="33">
        <f>AK59*(1-הנחות!C10)+AL42</f>
        <v>0.83333333333333337</v>
      </c>
      <c r="AM59" s="33">
        <f>AL59*(1-הנחות!C10)+AM42</f>
        <v>1.6633333333333336</v>
      </c>
      <c r="AN59" s="33">
        <f>AM59*(1-הנחות!C10)+AN42</f>
        <v>2.4900133333333336</v>
      </c>
      <c r="AO59" s="33">
        <f>AN59*(1-הנחות!C10)+AO42</f>
        <v>3.3133866133333338</v>
      </c>
      <c r="AP59" s="33">
        <f>AO59*(1-הנחות!C10)+AP42</f>
        <v>4.1334664002133339</v>
      </c>
      <c r="AQ59" s="33">
        <f>AP59*(1-הנחות!C10)+AQ42</f>
        <v>4.9502658679458138</v>
      </c>
      <c r="AR59" s="33">
        <f>AQ59*(1-הנחות!C10)+AR42</f>
        <v>5.7637981378073633</v>
      </c>
      <c r="AS59" s="33">
        <f>AR59*(1-הנחות!C10)+AS42</f>
        <v>6.5740762785894669</v>
      </c>
      <c r="AT59" s="33">
        <f>AS59*(1-הנחות!C10)+AT42</f>
        <v>7.3811133068084418</v>
      </c>
      <c r="AU59" s="33">
        <f>AT59*(1-הנחות!C10)+AU42</f>
        <v>8.184922186914541</v>
      </c>
      <c r="AV59" s="33">
        <f>AU59*(1-הנחות!C10)+AV42</f>
        <v>8.9855158315002175</v>
      </c>
      <c r="AW59" s="33">
        <f>AV59*(1-הנחות!C10)+AW42</f>
        <v>9.7829071015075506</v>
      </c>
      <c r="AX59" s="33">
        <f>AW59*(1-הנחות!C10)+AX42</f>
        <v>9.74377547310152</v>
      </c>
      <c r="AY59" s="33">
        <f>AX59*(1-הנחות!C10)+AY42</f>
        <v>9.7048003712091138</v>
      </c>
      <c r="AZ59" s="33">
        <f>AY59*(1-הנחות!C10)+AZ42</f>
        <v>9.6659811697242777</v>
      </c>
      <c r="BA59" s="33">
        <f>AZ59*(1-הנחות!C10)+BA42</f>
        <v>9.627317245045381</v>
      </c>
      <c r="BB59" s="33">
        <f>BA59*(1-הנחות!C10)+BB42</f>
        <v>9.5888079760651994</v>
      </c>
      <c r="BC59" s="33">
        <f>BB59*(1-הנחות!C10)+BC42</f>
        <v>9.550452744160939</v>
      </c>
      <c r="BD59" s="33">
        <f>BC59*(1-הנחות!C10)+BD42</f>
        <v>9.5122509331842959</v>
      </c>
      <c r="BE59" s="33">
        <f>BD59*(1-הנחות!C10)+BE42</f>
        <v>9.4742019294515583</v>
      </c>
      <c r="BF59" s="33">
        <f>BE59*(1-הנחות!C10)+BF42</f>
        <v>9.4363051217337528</v>
      </c>
      <c r="BG59" s="33">
        <f>BF59*(1-הנחות!C10)+BG42</f>
        <v>9.3985599012468182</v>
      </c>
      <c r="BH59" s="33">
        <f>BG59*(1-הנחות!C10)+BH42</f>
        <v>9.3609656616418313</v>
      </c>
      <c r="BI59" s="33">
        <f>BH59*(1-הנחות!C10)+BI42</f>
        <v>9.3235217989952641</v>
      </c>
    </row>
    <row r="60" spans="1:61" x14ac:dyDescent="0.25">
      <c r="A60" s="31" t="s">
        <v>193</v>
      </c>
      <c r="B60" s="33">
        <f t="shared" si="28"/>
        <v>0</v>
      </c>
      <c r="C60" s="33">
        <f>B60*(1-הנחות!C10)+C43</f>
        <v>0</v>
      </c>
      <c r="D60" s="33">
        <f>C60*(1-הנחות!C10)+D43</f>
        <v>0</v>
      </c>
      <c r="E60" s="33">
        <f>D60*(1-הנחות!C10)+E43</f>
        <v>0</v>
      </c>
      <c r="F60" s="33">
        <f>E60*(1-הנחות!C10)+F43</f>
        <v>0</v>
      </c>
      <c r="G60" s="33">
        <f>F60*(1-הנחות!C10)+G43</f>
        <v>0</v>
      </c>
      <c r="H60" s="33">
        <f>G60*(1-הנחות!C10)+H43</f>
        <v>0</v>
      </c>
      <c r="I60" s="33">
        <f>H60*(1-הנחות!C10)+I43</f>
        <v>0</v>
      </c>
      <c r="J60" s="33">
        <f>I60*(1-הנחות!C10)+J43</f>
        <v>0</v>
      </c>
      <c r="K60" s="33">
        <f>J60*(1-הנחות!C10)+K43</f>
        <v>0</v>
      </c>
      <c r="L60" s="33">
        <f>K60*(1-הנחות!C10)+L43</f>
        <v>0</v>
      </c>
      <c r="M60" s="33">
        <f>L60*(1-הנחות!C10)+M43</f>
        <v>0</v>
      </c>
      <c r="N60" s="33">
        <f>M60*(1-הנחות!C10)+N43</f>
        <v>0</v>
      </c>
      <c r="O60" s="33">
        <f>N60*(1-הנחות!C10)+O43</f>
        <v>0</v>
      </c>
      <c r="P60" s="33">
        <f>O60*(1-הנחות!C10)+P43</f>
        <v>0</v>
      </c>
      <c r="Q60" s="33">
        <f>P60*(1-הנחות!C10)+Q43</f>
        <v>0</v>
      </c>
      <c r="R60" s="33">
        <f>Q60*(1-הנחות!C10)+R43</f>
        <v>0</v>
      </c>
      <c r="S60" s="33">
        <f>R60*(1-הנחות!C10)+S43</f>
        <v>0</v>
      </c>
      <c r="T60" s="33">
        <f>S60*(1-הנחות!C10)+T43</f>
        <v>0</v>
      </c>
      <c r="U60" s="33">
        <f>T60*(1-הנחות!C10)+U43</f>
        <v>0</v>
      </c>
      <c r="V60" s="33">
        <f>U60*(1-הנחות!C10)+V43</f>
        <v>0</v>
      </c>
      <c r="W60" s="33">
        <f>V60*(1-הנחות!C10)+W43</f>
        <v>0</v>
      </c>
      <c r="X60" s="33">
        <f>W60*(1-הנחות!C10)+X43</f>
        <v>0</v>
      </c>
      <c r="Y60" s="33">
        <f>X60*(1-הנחות!C10)+Y43</f>
        <v>0</v>
      </c>
      <c r="Z60" s="33">
        <f>Y60*(1-הנחות!C10)+Z43</f>
        <v>0</v>
      </c>
      <c r="AA60" s="33">
        <f>Z60*(1-הנחות!C10)+AA43</f>
        <v>0</v>
      </c>
      <c r="AB60" s="33">
        <f>AA60*(1-הנחות!C10)+AB43</f>
        <v>0</v>
      </c>
      <c r="AC60" s="33">
        <f>AB60*(1-הנחות!C10)+AC43</f>
        <v>0</v>
      </c>
      <c r="AD60" s="33">
        <f>AC60*(1-הנחות!C10)+AD43</f>
        <v>0</v>
      </c>
      <c r="AE60" s="33">
        <f>AD60*(1-הנחות!C10)+AE43</f>
        <v>0</v>
      </c>
      <c r="AF60" s="33">
        <f>AE60*(1-הנחות!C10)+AF43</f>
        <v>0</v>
      </c>
      <c r="AG60" s="33">
        <f>AF60*(1-הנחות!C10)+AG43</f>
        <v>0</v>
      </c>
      <c r="AH60" s="33">
        <f>AG60*(1-הנחות!C10)+AH43</f>
        <v>0</v>
      </c>
      <c r="AI60" s="33">
        <f>AH60*(1-הנחות!C10)+AI43</f>
        <v>0</v>
      </c>
      <c r="AJ60" s="33">
        <f>AI60*(1-הנחות!C10)+AJ43</f>
        <v>0</v>
      </c>
      <c r="AK60" s="33">
        <f>AJ60*(1-הנחות!C10)+AK43</f>
        <v>0</v>
      </c>
      <c r="AL60" s="33">
        <f>AK60*(1-הנחות!C10)+AL43</f>
        <v>0</v>
      </c>
      <c r="AM60" s="33">
        <f>AL60*(1-הנחות!C10)+AM43</f>
        <v>0</v>
      </c>
      <c r="AN60" s="33">
        <f>AM60*(1-הנחות!C10)+AN43</f>
        <v>0</v>
      </c>
      <c r="AO60" s="33">
        <f>AN60*(1-הנחות!C10)+AO43</f>
        <v>0</v>
      </c>
      <c r="AP60" s="33">
        <f>AO60*(1-הנחות!C10)+AP43</f>
        <v>0</v>
      </c>
      <c r="AQ60" s="33">
        <f>AP60*(1-הנחות!C10)+AQ43</f>
        <v>0</v>
      </c>
      <c r="AR60" s="33">
        <f>AQ60*(1-הנחות!C10)+AR43</f>
        <v>0</v>
      </c>
      <c r="AS60" s="33">
        <f>AR60*(1-הנחות!C10)+AS43</f>
        <v>0</v>
      </c>
      <c r="AT60" s="33">
        <f>AS60*(1-הנחות!C10)+AT43</f>
        <v>0</v>
      </c>
      <c r="AU60" s="33">
        <f>AT60*(1-הנחות!C10)+AU43</f>
        <v>0</v>
      </c>
      <c r="AV60" s="33">
        <f>AU60*(1-הנחות!C10)+AV43</f>
        <v>0</v>
      </c>
      <c r="AW60" s="33">
        <f>AV60*(1-הנחות!C10)+AW43</f>
        <v>0</v>
      </c>
      <c r="AX60" s="33">
        <f>AW60*(1-הנחות!C10)+AX43</f>
        <v>0.41666666666666669</v>
      </c>
      <c r="AY60" s="33">
        <f>AX60*(1-הנחות!C10)+AY43</f>
        <v>0.83166666666666678</v>
      </c>
      <c r="AZ60" s="33">
        <f>AY60*(1-הנחות!C10)+AZ43</f>
        <v>1.2450066666666668</v>
      </c>
      <c r="BA60" s="33">
        <f>AZ60*(1-הנחות!C10)+BA43</f>
        <v>1.6566933066666669</v>
      </c>
      <c r="BB60" s="33">
        <f>BA60*(1-הנחות!C10)+BB43</f>
        <v>2.0667332001066669</v>
      </c>
      <c r="BC60" s="33">
        <f>BB60*(1-הנחות!C10)+BC43</f>
        <v>2.4751329339729069</v>
      </c>
      <c r="BD60" s="33">
        <f>BC60*(1-הנחות!C10)+BD43</f>
        <v>2.8818990689036816</v>
      </c>
      <c r="BE60" s="33">
        <f>BD60*(1-הנחות!C10)+BE43</f>
        <v>3.2870381392947334</v>
      </c>
      <c r="BF60" s="33">
        <f>BE60*(1-הנחות!C10)+BF43</f>
        <v>3.6905566534042209</v>
      </c>
      <c r="BG60" s="33">
        <f>BF60*(1-הנחות!C10)+BG43</f>
        <v>4.0924610934572705</v>
      </c>
      <c r="BH60" s="33">
        <f>BG60*(1-הנחות!C10)+BH43</f>
        <v>4.4927579157501087</v>
      </c>
      <c r="BI60" s="33">
        <f>BH60*(1-הנחות!C10)+BI43</f>
        <v>4.8914535507537753</v>
      </c>
    </row>
    <row r="61" spans="1:61" x14ac:dyDescent="0.25">
      <c r="A61" s="31" t="s">
        <v>194</v>
      </c>
      <c r="B61" s="33">
        <f t="shared" si="28"/>
        <v>0</v>
      </c>
      <c r="C61" s="33">
        <f>B61*(1-הנחות!D10)+C44</f>
        <v>0</v>
      </c>
      <c r="D61" s="33">
        <f>C61*(1-הנחות!D10)+D44</f>
        <v>0</v>
      </c>
      <c r="E61" s="33">
        <f>D61*(1-הנחות!D10)+E44</f>
        <v>0</v>
      </c>
      <c r="F61" s="33">
        <f>E61*(1-הנחות!D10)+F44</f>
        <v>0</v>
      </c>
      <c r="G61" s="33">
        <f>F61*(1-הנחות!D10)+G44</f>
        <v>0.14285714285714285</v>
      </c>
      <c r="H61" s="33">
        <f>G61*(1-הנחות!D10)+H44</f>
        <v>0.28542857142857142</v>
      </c>
      <c r="I61" s="33">
        <f>H61*(1-הנחות!D10)+I44</f>
        <v>0.42771485714285712</v>
      </c>
      <c r="J61" s="33">
        <f>I61*(1-הנחות!D10)+J44</f>
        <v>0.56971657028571432</v>
      </c>
      <c r="K61" s="33">
        <f>J61*(1-הנחות!D10)+K44</f>
        <v>0.7114342800022857</v>
      </c>
      <c r="L61" s="33">
        <f>K61*(1-הנחות!D10)+L44</f>
        <v>0.85286855429942388</v>
      </c>
      <c r="M61" s="33">
        <f>L61*(1-הנחות!D10)+M44</f>
        <v>0.99401996004796778</v>
      </c>
      <c r="N61" s="33">
        <f>M61*(1-הנחות!D10)+N44</f>
        <v>0.99203192012787189</v>
      </c>
      <c r="O61" s="33">
        <f>N61*(1-הנחות!D10)+O44</f>
        <v>0.99004785628761616</v>
      </c>
      <c r="P61" s="33">
        <f>O61*(1-הנחות!D10)+P44</f>
        <v>0.98806776057504098</v>
      </c>
      <c r="Q61" s="33">
        <f>P61*(1-הנחות!D10)+Q44</f>
        <v>0.98609162505389092</v>
      </c>
      <c r="R61" s="33">
        <f>Q61*(1-הנחות!D10)+R44</f>
        <v>0.98411944180378319</v>
      </c>
      <c r="S61" s="33">
        <f>R61*(1-הנחות!D10)+S44</f>
        <v>0.98215120292017566</v>
      </c>
      <c r="T61" s="33">
        <f>S61*(1-הנחות!D10)+T44</f>
        <v>0.98018690051433532</v>
      </c>
      <c r="U61" s="33">
        <f>T61*(1-הנחות!D10)+U44</f>
        <v>0.97822652671330668</v>
      </c>
      <c r="V61" s="33">
        <f>U61*(1-הנחות!D10)+V44</f>
        <v>0.97627007365988006</v>
      </c>
      <c r="W61" s="33">
        <f>V61*(1-הנחות!D10)+W44</f>
        <v>0.97431753351256034</v>
      </c>
      <c r="X61" s="33">
        <f>W61*(1-הנחות!D10)+X44</f>
        <v>0.9723688984455352</v>
      </c>
      <c r="Y61" s="33">
        <f>X61*(1-הנחות!D10)+Y44</f>
        <v>0.97042416064864412</v>
      </c>
      <c r="Z61" s="33">
        <f>Y61*(1-הנחות!D10)+Z44</f>
        <v>0.96848331232734686</v>
      </c>
      <c r="AA61" s="33">
        <f>Z61*(1-הנחות!D10)+AA44</f>
        <v>0.96654634570269216</v>
      </c>
      <c r="AB61" s="33">
        <f>AA61*(1-הנחות!D10)+AB44</f>
        <v>0.96461325301128675</v>
      </c>
      <c r="AC61" s="33">
        <f>AB61*(1-הנחות!D10)+AC44</f>
        <v>0.96268402650526419</v>
      </c>
      <c r="AD61" s="33">
        <f>AC61*(1-הנחות!D10)+AD44</f>
        <v>0.96075865845225361</v>
      </c>
      <c r="AE61" s="33">
        <f>AD61*(1-הנחות!D10)+AE44</f>
        <v>0.95883714113534912</v>
      </c>
      <c r="AF61" s="33">
        <f>AE61*(1-הנחות!D10)+AF44</f>
        <v>0.95691946685307838</v>
      </c>
      <c r="AG61" s="33">
        <f>AF61*(1-הנחות!D10)+AG44</f>
        <v>0.95500562791937227</v>
      </c>
      <c r="AH61" s="33">
        <f>AG61*(1-הנחות!D10)+AH44</f>
        <v>0.95309561666353348</v>
      </c>
      <c r="AI61" s="33">
        <f>AH61*(1-הנחות!D10)+AI44</f>
        <v>0.95118942543020646</v>
      </c>
      <c r="AJ61" s="33">
        <f>AI61*(1-הנחות!D10)+AJ44</f>
        <v>0.94928704657934604</v>
      </c>
      <c r="AK61" s="33">
        <f>AJ61*(1-הנחות!D10)+AK44</f>
        <v>0.94738847248618729</v>
      </c>
      <c r="AL61" s="33">
        <f>AK61*(1-הנחות!D10)+AL44</f>
        <v>0.94549369554121487</v>
      </c>
      <c r="AM61" s="33">
        <f>AL61*(1-הנחות!D10)+AM44</f>
        <v>0.94360270815013247</v>
      </c>
      <c r="AN61" s="33">
        <f>AM61*(1-הנחות!D10)+AN44</f>
        <v>0.9417155027338322</v>
      </c>
      <c r="AO61" s="33">
        <f>AN61*(1-הנחות!D10)+AO44</f>
        <v>0.93983207172836458</v>
      </c>
      <c r="AP61" s="33">
        <f>AO61*(1-הנחות!D10)+AP44</f>
        <v>0.93795240758490783</v>
      </c>
      <c r="AQ61" s="33">
        <f>AP61*(1-הנחות!D10)+AQ44</f>
        <v>0.93607650276973797</v>
      </c>
      <c r="AR61" s="33">
        <f>AQ61*(1-הנחות!D10)+AR44</f>
        <v>0.93420434976419853</v>
      </c>
      <c r="AS61" s="33">
        <f>AR61*(1-הנחות!D10)+AS44</f>
        <v>0.9323359410646701</v>
      </c>
      <c r="AT61" s="33">
        <f>AS61*(1-הנחות!D10)+AT44</f>
        <v>0.93047126918254075</v>
      </c>
      <c r="AU61" s="33">
        <f>AT61*(1-הנחות!D10)+AU44</f>
        <v>0.92861032664417564</v>
      </c>
      <c r="AV61" s="33">
        <f>AU61*(1-הנחות!D10)+AV44</f>
        <v>0.92675310599088734</v>
      </c>
      <c r="AW61" s="33">
        <f>AV61*(1-הנחות!D10)+AW44</f>
        <v>0.92489959977890557</v>
      </c>
      <c r="AX61" s="33">
        <f>AW61*(1-הנחות!D10)+AX44</f>
        <v>0.92304980057934771</v>
      </c>
      <c r="AY61" s="33">
        <f>AX61*(1-הנחות!D10)+AY44</f>
        <v>0.92120370097818904</v>
      </c>
      <c r="AZ61" s="33">
        <f>AY61*(1-הנחות!D10)+AZ44</f>
        <v>0.91936129357623264</v>
      </c>
      <c r="BA61" s="33">
        <f>AZ61*(1-הנחות!D10)+BA44</f>
        <v>0.91752257098908019</v>
      </c>
      <c r="BB61" s="33">
        <f>BA61*(1-הנחות!D10)+BB44</f>
        <v>0.915687525847102</v>
      </c>
      <c r="BC61" s="33">
        <f>BB61*(1-הנחות!D10)+BC44</f>
        <v>0.91385615079540783</v>
      </c>
      <c r="BD61" s="33">
        <f>BC61*(1-הנחות!D10)+BD44</f>
        <v>0.91202843849381698</v>
      </c>
      <c r="BE61" s="33">
        <f>BD61*(1-הנחות!D10)+BE44</f>
        <v>0.91020438161682937</v>
      </c>
      <c r="BF61" s="33">
        <f>BE61*(1-הנחות!D10)+BF44</f>
        <v>0.90838397285359573</v>
      </c>
      <c r="BG61" s="33">
        <f>BF61*(1-הנחות!D10)+BG44</f>
        <v>0.90656720490788856</v>
      </c>
      <c r="BH61" s="33">
        <f>BG61*(1-הנחות!D10)+BH44</f>
        <v>0.90475407049807277</v>
      </c>
      <c r="BI61" s="33">
        <f>BH61*(1-הנחות!D10)+BI44</f>
        <v>0.90294456235707665</v>
      </c>
    </row>
    <row r="62" spans="1:61" x14ac:dyDescent="0.25">
      <c r="A62" s="31" t="s">
        <v>195</v>
      </c>
      <c r="B62" s="33">
        <f t="shared" si="28"/>
        <v>0</v>
      </c>
      <c r="C62" s="33">
        <f>B62*(1-הנחות!D10)+C45</f>
        <v>0</v>
      </c>
      <c r="D62" s="33">
        <f>C62*(1-הנחות!D10)+D45</f>
        <v>0</v>
      </c>
      <c r="E62" s="33">
        <f>D62*(1-הנחות!D10)+E45</f>
        <v>0</v>
      </c>
      <c r="F62" s="33">
        <f>E62*(1-הנחות!D10)+F45</f>
        <v>0</v>
      </c>
      <c r="G62" s="33">
        <f>F62*(1-הנחות!D10)+G45</f>
        <v>0</v>
      </c>
      <c r="H62" s="33">
        <f>G62*(1-הנחות!D10)+H45</f>
        <v>0</v>
      </c>
      <c r="I62" s="33">
        <f>H62*(1-הנחות!D10)+I45</f>
        <v>0</v>
      </c>
      <c r="J62" s="33">
        <f>I62*(1-הנחות!D10)+J45</f>
        <v>0</v>
      </c>
      <c r="K62" s="33">
        <f>J62*(1-הנחות!D10)+K45</f>
        <v>0</v>
      </c>
      <c r="L62" s="33">
        <f>K62*(1-הנחות!D10)+L45</f>
        <v>0</v>
      </c>
      <c r="M62" s="33">
        <f>L62*(1-הנחות!D10)+M45</f>
        <v>0</v>
      </c>
      <c r="N62" s="33">
        <f>M62*(1-הנחות!D10)+N45</f>
        <v>0.25</v>
      </c>
      <c r="O62" s="33">
        <f>N62*(1-הנחות!D10)+O45</f>
        <v>0.4995</v>
      </c>
      <c r="P62" s="33">
        <f>O62*(1-הנחות!D10)+P45</f>
        <v>0.74850099999999997</v>
      </c>
      <c r="Q62" s="33">
        <f>P62*(1-הנחות!D10)+Q45</f>
        <v>0.99700399799999995</v>
      </c>
      <c r="R62" s="33">
        <f>Q62*(1-הנחות!D10)+R45</f>
        <v>1.2450099900039999</v>
      </c>
      <c r="S62" s="33">
        <f>R62*(1-הנחות!D10)+S45</f>
        <v>1.4925199700239919</v>
      </c>
      <c r="T62" s="33">
        <f>S62*(1-הנחות!D10)+T45</f>
        <v>1.739534930083944</v>
      </c>
      <c r="U62" s="33">
        <f>T62*(1-הנחות!D10)+U45</f>
        <v>1.9860558602237761</v>
      </c>
      <c r="V62" s="33">
        <f>U62*(1-הנחות!D10)+V45</f>
        <v>2.2320837485033285</v>
      </c>
      <c r="W62" s="33">
        <f>V62*(1-הנחות!D10)+W45</f>
        <v>2.477619581006322</v>
      </c>
      <c r="X62" s="33">
        <f>W62*(1-הנחות!D10)+X45</f>
        <v>2.7226643418443093</v>
      </c>
      <c r="Y62" s="33">
        <f>X62*(1-הנחות!D10)+Y45</f>
        <v>2.9672190131606206</v>
      </c>
      <c r="Z62" s="33">
        <f>Y62*(1-הנחות!D10)+Z45</f>
        <v>2.9612845751342993</v>
      </c>
      <c r="AA62" s="33">
        <f>Z62*(1-הנחות!D10)+AA45</f>
        <v>2.9553620059840306</v>
      </c>
      <c r="AB62" s="33">
        <f>AA62*(1-הנחות!D10)+AB45</f>
        <v>2.9494512819720624</v>
      </c>
      <c r="AC62" s="33">
        <f>AB62*(1-הנחות!D10)+AC45</f>
        <v>2.9435523794081182</v>
      </c>
      <c r="AD62" s="33">
        <f>AC62*(1-הנחות!D10)+AD45</f>
        <v>2.9376652746493019</v>
      </c>
      <c r="AE62" s="33">
        <f>AD62*(1-הנחות!D10)+AE45</f>
        <v>2.9317899441000033</v>
      </c>
      <c r="AF62" s="33">
        <f>AE62*(1-הנחות!D10)+AF45</f>
        <v>2.9259263642118034</v>
      </c>
      <c r="AG62" s="33">
        <f>AF62*(1-הנחות!D10)+AG45</f>
        <v>2.9200745114833797</v>
      </c>
      <c r="AH62" s="33">
        <f>AG62*(1-הנחות!D10)+AH45</f>
        <v>2.9142343624604128</v>
      </c>
      <c r="AI62" s="33">
        <f>AH62*(1-הנחות!D10)+AI45</f>
        <v>2.908405893735492</v>
      </c>
      <c r="AJ62" s="33">
        <f>AI62*(1-הנחות!D10)+AJ45</f>
        <v>2.9025890819480211</v>
      </c>
      <c r="AK62" s="33">
        <f>AJ62*(1-הנחות!D10)+AK45</f>
        <v>2.896783903784125</v>
      </c>
      <c r="AL62" s="33">
        <f>AK62*(1-הנחות!D10)+AL45</f>
        <v>2.8909903359765567</v>
      </c>
      <c r="AM62" s="33">
        <f>AL62*(1-הנחות!D10)+AM45</f>
        <v>2.8852083553046035</v>
      </c>
      <c r="AN62" s="33">
        <f>AM62*(1-הנחות!D10)+AN45</f>
        <v>2.8794379385939943</v>
      </c>
      <c r="AO62" s="33">
        <f>AN62*(1-הנחות!D10)+AO45</f>
        <v>2.8736790627168065</v>
      </c>
      <c r="AP62" s="33">
        <f>AO62*(1-הנחות!D10)+AP45</f>
        <v>2.8679317045913728</v>
      </c>
      <c r="AQ62" s="33">
        <f>AP62*(1-הנחות!D10)+AQ45</f>
        <v>2.8621958411821899</v>
      </c>
      <c r="AR62" s="33">
        <f>AQ62*(1-הנחות!D10)+AR45</f>
        <v>2.8564714494998253</v>
      </c>
      <c r="AS62" s="33">
        <f>AR62*(1-הנחות!D10)+AS45</f>
        <v>2.8507585066008256</v>
      </c>
      <c r="AT62" s="33">
        <f>AS62*(1-הנחות!D10)+AT45</f>
        <v>2.8450569895876239</v>
      </c>
      <c r="AU62" s="33">
        <f>AT62*(1-הנחות!D10)+AU45</f>
        <v>2.8393668756084485</v>
      </c>
      <c r="AV62" s="33">
        <f>AU62*(1-הנחות!D10)+AV45</f>
        <v>2.8336881418572317</v>
      </c>
      <c r="AW62" s="33">
        <f>AV62*(1-הנחות!D10)+AW45</f>
        <v>2.8280207655735174</v>
      </c>
      <c r="AX62" s="33">
        <f>AW62*(1-הנחות!D10)+AX45</f>
        <v>2.8223647240423704</v>
      </c>
      <c r="AY62" s="33">
        <f>AX62*(1-הנחות!D10)+AY45</f>
        <v>2.8167199945942856</v>
      </c>
      <c r="AZ62" s="33">
        <f>AY62*(1-הנחות!D10)+AZ45</f>
        <v>2.8110865546050969</v>
      </c>
      <c r="BA62" s="33">
        <f>AZ62*(1-הנחות!D10)+BA45</f>
        <v>2.8054643814958866</v>
      </c>
      <c r="BB62" s="33">
        <f>BA62*(1-הנחות!D10)+BB45</f>
        <v>2.7998534527328949</v>
      </c>
      <c r="BC62" s="33">
        <f>BB62*(1-הנחות!D10)+BC45</f>
        <v>2.794253745827429</v>
      </c>
      <c r="BD62" s="33">
        <f>BC62*(1-הנחות!D10)+BD45</f>
        <v>2.7886652383357742</v>
      </c>
      <c r="BE62" s="33">
        <f>BD62*(1-הנחות!D10)+BE45</f>
        <v>2.7830879078591026</v>
      </c>
      <c r="BF62" s="33">
        <f>BE62*(1-הנחות!D10)+BF45</f>
        <v>2.7775217320433843</v>
      </c>
      <c r="BG62" s="33">
        <f>BF62*(1-הנחות!D10)+BG45</f>
        <v>2.7719666885792975</v>
      </c>
      <c r="BH62" s="33">
        <f>BG62*(1-הנחות!D10)+BH45</f>
        <v>2.766422755202139</v>
      </c>
      <c r="BI62" s="33">
        <f>BH62*(1-הנחות!D10)+BI45</f>
        <v>2.7608899096917345</v>
      </c>
    </row>
    <row r="63" spans="1:61" x14ac:dyDescent="0.25">
      <c r="A63" s="31" t="s">
        <v>196</v>
      </c>
      <c r="B63" s="33">
        <f t="shared" si="28"/>
        <v>0</v>
      </c>
      <c r="C63" s="33">
        <f>B63*(1-הנחות!D10)+C46</f>
        <v>0</v>
      </c>
      <c r="D63" s="33">
        <f>C63*(1-הנחות!D10)+D46</f>
        <v>0</v>
      </c>
      <c r="E63" s="33">
        <f>D63*(1-הנחות!D10)+E46</f>
        <v>0</v>
      </c>
      <c r="F63" s="33">
        <f>E63*(1-הנחות!D10)+F46</f>
        <v>0</v>
      </c>
      <c r="G63" s="33">
        <f>F63*(1-הנחות!D10)+G46</f>
        <v>0</v>
      </c>
      <c r="H63" s="33">
        <f>G63*(1-הנחות!D10)+H46</f>
        <v>0</v>
      </c>
      <c r="I63" s="33">
        <f>H63*(1-הנחות!D10)+I46</f>
        <v>0</v>
      </c>
      <c r="J63" s="33">
        <f>I63*(1-הנחות!D10)+J46</f>
        <v>0</v>
      </c>
      <c r="K63" s="33">
        <f>J63*(1-הנחות!D10)+K46</f>
        <v>0</v>
      </c>
      <c r="L63" s="33">
        <f>K63*(1-הנחות!D10)+L46</f>
        <v>0</v>
      </c>
      <c r="M63" s="33">
        <f>L63*(1-הנחות!D10)+M46</f>
        <v>0</v>
      </c>
      <c r="N63" s="33">
        <f>M63*(1-הנחות!D10)+N46</f>
        <v>0</v>
      </c>
      <c r="O63" s="33">
        <f>N63*(1-הנחות!D10)+O46</f>
        <v>0</v>
      </c>
      <c r="P63" s="33">
        <f>O63*(1-הנחות!D10)+P46</f>
        <v>0</v>
      </c>
      <c r="Q63" s="33">
        <f>P63*(1-הנחות!D10)+Q46</f>
        <v>0</v>
      </c>
      <c r="R63" s="33">
        <f>Q63*(1-הנחות!D10)+R46</f>
        <v>0</v>
      </c>
      <c r="S63" s="33">
        <f>R63*(1-הנחות!D10)+S46</f>
        <v>0</v>
      </c>
      <c r="T63" s="33">
        <f>S63*(1-הנחות!D10)+T46</f>
        <v>0</v>
      </c>
      <c r="U63" s="33">
        <f>T63*(1-הנחות!D10)+U46</f>
        <v>0</v>
      </c>
      <c r="V63" s="33">
        <f>U63*(1-הנחות!D10)+V46</f>
        <v>0</v>
      </c>
      <c r="W63" s="33">
        <f>V63*(1-הנחות!D10)+W46</f>
        <v>0</v>
      </c>
      <c r="X63" s="33">
        <f>W63*(1-הנחות!D10)+X46</f>
        <v>0</v>
      </c>
      <c r="Y63" s="33">
        <f>X63*(1-הנחות!D10)+Y46</f>
        <v>0</v>
      </c>
      <c r="Z63" s="33">
        <f>Y63*(1-הנחות!D10)+Z46</f>
        <v>0.25</v>
      </c>
      <c r="AA63" s="33">
        <f>Z63*(1-הנחות!D10)+AA46</f>
        <v>0.4995</v>
      </c>
      <c r="AB63" s="33">
        <f>AA63*(1-הנחות!D10)+AB46</f>
        <v>0.74850099999999997</v>
      </c>
      <c r="AC63" s="33">
        <f>AB63*(1-הנחות!D10)+AC46</f>
        <v>0.99700399799999995</v>
      </c>
      <c r="AD63" s="33">
        <f>AC63*(1-הנחות!D10)+AD46</f>
        <v>1.2450099900039999</v>
      </c>
      <c r="AE63" s="33">
        <f>AD63*(1-הנחות!D10)+AE46</f>
        <v>1.4925199700239919</v>
      </c>
      <c r="AF63" s="33">
        <f>AE63*(1-הנחות!D10)+AF46</f>
        <v>1.739534930083944</v>
      </c>
      <c r="AG63" s="33">
        <f>AF63*(1-הנחות!D10)+AG46</f>
        <v>1.9860558602237761</v>
      </c>
      <c r="AH63" s="33">
        <f>AG63*(1-הנחות!D10)+AH46</f>
        <v>2.2320837485033285</v>
      </c>
      <c r="AI63" s="33">
        <f>AH63*(1-הנחות!D10)+AI46</f>
        <v>2.477619581006322</v>
      </c>
      <c r="AJ63" s="33">
        <f>AI63*(1-הנחות!D10)+AJ46</f>
        <v>2.7226643418443093</v>
      </c>
      <c r="AK63" s="33">
        <f>AJ63*(1-הנחות!D10)+AK46</f>
        <v>2.9672190131606206</v>
      </c>
      <c r="AL63" s="33">
        <f>AK63*(1-הנחות!D10)+AL46</f>
        <v>2.9612845751342993</v>
      </c>
      <c r="AM63" s="33">
        <f>AL63*(1-הנחות!D10)+AM46</f>
        <v>2.9553620059840306</v>
      </c>
      <c r="AN63" s="33">
        <f>AM63*(1-הנחות!D10)+AN46</f>
        <v>2.9494512819720624</v>
      </c>
      <c r="AO63" s="33">
        <f>AN63*(1-הנחות!D10)+AO46</f>
        <v>2.9435523794081182</v>
      </c>
      <c r="AP63" s="33">
        <f>AO63*(1-הנחות!D10)+AP46</f>
        <v>2.9376652746493019</v>
      </c>
      <c r="AQ63" s="33">
        <f>AP63*(1-הנחות!D10)+AQ46</f>
        <v>2.9317899441000033</v>
      </c>
      <c r="AR63" s="33">
        <f>AQ63*(1-הנחות!D10)+AR46</f>
        <v>2.9259263642118034</v>
      </c>
      <c r="AS63" s="33">
        <f>AR63*(1-הנחות!D10)+AS46</f>
        <v>2.9200745114833797</v>
      </c>
      <c r="AT63" s="33">
        <f>AS63*(1-הנחות!D10)+AT46</f>
        <v>2.9142343624604128</v>
      </c>
      <c r="AU63" s="33">
        <f>AT63*(1-הנחות!D10)+AU46</f>
        <v>2.908405893735492</v>
      </c>
      <c r="AV63" s="33">
        <f>AU63*(1-הנחות!D10)+AV46</f>
        <v>2.9025890819480211</v>
      </c>
      <c r="AW63" s="33">
        <f>AV63*(1-הנחות!D10)+AW46</f>
        <v>2.896783903784125</v>
      </c>
      <c r="AX63" s="33">
        <f>AW63*(1-הנחות!D10)+AX46</f>
        <v>2.8909903359765567</v>
      </c>
      <c r="AY63" s="33">
        <f>AX63*(1-הנחות!D10)+AY46</f>
        <v>2.8852083553046035</v>
      </c>
      <c r="AZ63" s="33">
        <f>AY63*(1-הנחות!D10)+AZ46</f>
        <v>2.8794379385939943</v>
      </c>
      <c r="BA63" s="33">
        <f>AZ63*(1-הנחות!D10)+BA46</f>
        <v>2.8736790627168065</v>
      </c>
      <c r="BB63" s="33">
        <f>BA63*(1-הנחות!D10)+BB46</f>
        <v>2.8679317045913728</v>
      </c>
      <c r="BC63" s="33">
        <f>BB63*(1-הנחות!D10)+BC46</f>
        <v>2.8621958411821899</v>
      </c>
      <c r="BD63" s="33">
        <f>BC63*(1-הנחות!D10)+BD46</f>
        <v>2.8564714494998253</v>
      </c>
      <c r="BE63" s="33">
        <f>BD63*(1-הנחות!D10)+BE46</f>
        <v>2.8507585066008256</v>
      </c>
      <c r="BF63" s="33">
        <f>BE63*(1-הנחות!D10)+BF46</f>
        <v>2.8450569895876239</v>
      </c>
      <c r="BG63" s="33">
        <f>BF63*(1-הנחות!D10)+BG46</f>
        <v>2.8393668756084485</v>
      </c>
      <c r="BH63" s="33">
        <f>BG63*(1-הנחות!D10)+BH46</f>
        <v>2.8336881418572317</v>
      </c>
      <c r="BI63" s="33">
        <f>BH63*(1-הנחות!D10)+BI46</f>
        <v>2.8280207655735174</v>
      </c>
    </row>
    <row r="64" spans="1:61" x14ac:dyDescent="0.25">
      <c r="A64" s="31" t="s">
        <v>197</v>
      </c>
      <c r="B64" s="33">
        <f t="shared" si="28"/>
        <v>0</v>
      </c>
      <c r="C64" s="33">
        <f>B64*(1-הנחות!D10)+C47</f>
        <v>0</v>
      </c>
      <c r="D64" s="33">
        <f>C64*(1-הנחות!D10)+D47</f>
        <v>0</v>
      </c>
      <c r="E64" s="33">
        <f>D64*(1-הנחות!D10)+E47</f>
        <v>0</v>
      </c>
      <c r="F64" s="33">
        <f>E64*(1-הנחות!D10)+F47</f>
        <v>0</v>
      </c>
      <c r="G64" s="33">
        <f>F64*(1-הנחות!D10)+G47</f>
        <v>0</v>
      </c>
      <c r="H64" s="33">
        <f>G64*(1-הנחות!D10)+H47</f>
        <v>0</v>
      </c>
      <c r="I64" s="33">
        <f>H64*(1-הנחות!D10)+I47</f>
        <v>0</v>
      </c>
      <c r="J64" s="33">
        <f>I64*(1-הנחות!D10)+J47</f>
        <v>0</v>
      </c>
      <c r="K64" s="33">
        <f>J64*(1-הנחות!D10)+K47</f>
        <v>0</v>
      </c>
      <c r="L64" s="33">
        <f>K64*(1-הנחות!D10)+L47</f>
        <v>0</v>
      </c>
      <c r="M64" s="33">
        <f>L64*(1-הנחות!D10)+M47</f>
        <v>0</v>
      </c>
      <c r="N64" s="33">
        <f>M64*(1-הנחות!D10)+N47</f>
        <v>0</v>
      </c>
      <c r="O64" s="33">
        <f>N64*(1-הנחות!D10)+O47</f>
        <v>0</v>
      </c>
      <c r="P64" s="33">
        <f>O64*(1-הנחות!D10)+P47</f>
        <v>0</v>
      </c>
      <c r="Q64" s="33">
        <f>P64*(1-הנחות!D10)+Q47</f>
        <v>0</v>
      </c>
      <c r="R64" s="33">
        <f>Q64*(1-הנחות!D10)+R47</f>
        <v>0</v>
      </c>
      <c r="S64" s="33">
        <f>R64*(1-הנחות!D10)+S47</f>
        <v>0</v>
      </c>
      <c r="T64" s="33">
        <f>S64*(1-הנחות!D10)+T47</f>
        <v>0</v>
      </c>
      <c r="U64" s="33">
        <f>T64*(1-הנחות!D10)+U47</f>
        <v>0</v>
      </c>
      <c r="V64" s="33">
        <f>U64*(1-הנחות!D10)+V47</f>
        <v>0</v>
      </c>
      <c r="W64" s="33">
        <f>V64*(1-הנחות!D10)+W47</f>
        <v>0</v>
      </c>
      <c r="X64" s="33">
        <f>W64*(1-הנחות!D10)+X47</f>
        <v>0</v>
      </c>
      <c r="Y64" s="33">
        <f>X64*(1-הנחות!D10)+Y47</f>
        <v>0</v>
      </c>
      <c r="Z64" s="33">
        <f>Y64*(1-הנחות!D10)+Z47</f>
        <v>0</v>
      </c>
      <c r="AA64" s="33">
        <f>Z64*(1-הנחות!D10)+AA47</f>
        <v>0</v>
      </c>
      <c r="AB64" s="33">
        <f>AA64*(1-הנחות!D10)+AB47</f>
        <v>0</v>
      </c>
      <c r="AC64" s="33">
        <f>AB64*(1-הנחות!D10)+AC47</f>
        <v>0</v>
      </c>
      <c r="AD64" s="33">
        <f>AC64*(1-הנחות!D10)+AD47</f>
        <v>0</v>
      </c>
      <c r="AE64" s="33">
        <f>AD64*(1-הנחות!D10)+AE47</f>
        <v>0</v>
      </c>
      <c r="AF64" s="33">
        <f>AE64*(1-הנחות!D10)+AF47</f>
        <v>0</v>
      </c>
      <c r="AG64" s="33">
        <f>AF64*(1-הנחות!D10)+AG47</f>
        <v>0</v>
      </c>
      <c r="AH64" s="33">
        <f>AG64*(1-הנחות!D10)+AH47</f>
        <v>0</v>
      </c>
      <c r="AI64" s="33">
        <f>AH64*(1-הנחות!D10)+AI47</f>
        <v>0</v>
      </c>
      <c r="AJ64" s="33">
        <f>AI64*(1-הנחות!D10)+AJ47</f>
        <v>0</v>
      </c>
      <c r="AK64" s="33">
        <f>AJ64*(1-הנחות!D10)+AK47</f>
        <v>0</v>
      </c>
      <c r="AL64" s="33">
        <f>AK64*(1-הנחות!D10)+AL47</f>
        <v>0.16666666666666666</v>
      </c>
      <c r="AM64" s="33">
        <f>AL64*(1-הנחות!D10)+AM47</f>
        <v>0.33299999999999996</v>
      </c>
      <c r="AN64" s="33">
        <f>AM64*(1-הנחות!D10)+AN47</f>
        <v>0.49900066666666665</v>
      </c>
      <c r="AO64" s="33">
        <f>AN64*(1-הנחות!D10)+AO47</f>
        <v>0.664669332</v>
      </c>
      <c r="AP64" s="33">
        <f>AO64*(1-הנחות!D10)+AP47</f>
        <v>0.83000666000266665</v>
      </c>
      <c r="AQ64" s="33">
        <f>AP64*(1-הנחות!D10)+AQ47</f>
        <v>0.99501331334932797</v>
      </c>
      <c r="AR64" s="33">
        <f>AQ64*(1-הנחות!D10)+AR47</f>
        <v>1.1596899533892959</v>
      </c>
      <c r="AS64" s="33">
        <f>AR64*(1-הנחות!D10)+AS47</f>
        <v>1.324037240149184</v>
      </c>
      <c r="AT64" s="33">
        <f>AS64*(1-הנחות!D10)+AT47</f>
        <v>1.4880558323355524</v>
      </c>
      <c r="AU64" s="33">
        <f>AT64*(1-הנחות!D10)+AU47</f>
        <v>1.651746387337548</v>
      </c>
      <c r="AV64" s="33">
        <f>AU64*(1-הנחות!D10)+AV47</f>
        <v>1.8151095612295396</v>
      </c>
      <c r="AW64" s="33">
        <f>AV64*(1-הנחות!D10)+AW47</f>
        <v>1.9781460087737472</v>
      </c>
      <c r="AX64" s="33">
        <f>AW64*(1-הנחות!D10)+AX47</f>
        <v>1.9741897167561997</v>
      </c>
      <c r="AY64" s="33">
        <f>AX64*(1-הנחות!D10)+AY47</f>
        <v>1.9702413373226872</v>
      </c>
      <c r="AZ64" s="33">
        <f>AY64*(1-הנחות!D10)+AZ47</f>
        <v>1.9663008546480418</v>
      </c>
      <c r="BA64" s="33">
        <f>AZ64*(1-הנחות!D10)+BA47</f>
        <v>1.9623682529387458</v>
      </c>
      <c r="BB64" s="33">
        <f>BA64*(1-הנחות!D10)+BB47</f>
        <v>1.9584435164328684</v>
      </c>
      <c r="BC64" s="33">
        <f>BB64*(1-הנחות!D10)+BC47</f>
        <v>1.9545266294000028</v>
      </c>
      <c r="BD64" s="33">
        <f>BC64*(1-הנחות!D10)+BD47</f>
        <v>1.9506175761412028</v>
      </c>
      <c r="BE64" s="33">
        <f>BD64*(1-הנחות!D10)+BE47</f>
        <v>1.9467163409889203</v>
      </c>
      <c r="BF64" s="33">
        <f>BE64*(1-הנחות!D10)+BF47</f>
        <v>1.9428229083069424</v>
      </c>
      <c r="BG64" s="33">
        <f>BF64*(1-הנחות!D10)+BG47</f>
        <v>1.9389372624903285</v>
      </c>
      <c r="BH64" s="33">
        <f>BG64*(1-הנחות!D10)+BH47</f>
        <v>1.9350593879653479</v>
      </c>
      <c r="BI64" s="33">
        <f>BH64*(1-הנחות!D10)+BI47</f>
        <v>1.9311892691894172</v>
      </c>
    </row>
    <row r="65" spans="1:61" x14ac:dyDescent="0.25">
      <c r="A65" s="31" t="s">
        <v>198</v>
      </c>
      <c r="B65" s="33">
        <f t="shared" si="28"/>
        <v>0</v>
      </c>
      <c r="C65" s="33">
        <f>B65*(1-הנחות!D10)+C48</f>
        <v>0</v>
      </c>
      <c r="D65" s="33">
        <f>C65*(1-הנחות!D10)+D48</f>
        <v>0</v>
      </c>
      <c r="E65" s="33">
        <f>D65*(1-הנחות!D10)+E48</f>
        <v>0</v>
      </c>
      <c r="F65" s="33">
        <f>E65*(1-הנחות!D10)+F48</f>
        <v>0</v>
      </c>
      <c r="G65" s="33">
        <f>F65*(1-הנחות!D10)+G48</f>
        <v>0</v>
      </c>
      <c r="H65" s="33">
        <f>G65*(1-הנחות!D10)+H48</f>
        <v>0</v>
      </c>
      <c r="I65" s="33">
        <f>H65*(1-הנחות!D10)+I48</f>
        <v>0</v>
      </c>
      <c r="J65" s="33">
        <f>I65*(1-הנחות!D10)+J48</f>
        <v>0</v>
      </c>
      <c r="K65" s="33">
        <f>J65*(1-הנחות!D10)+K48</f>
        <v>0</v>
      </c>
      <c r="L65" s="33">
        <f>K65*(1-הנחות!D10)+L48</f>
        <v>0</v>
      </c>
      <c r="M65" s="33">
        <f>L65*(1-הנחות!D10)+M48</f>
        <v>0</v>
      </c>
      <c r="N65" s="33">
        <f>M65*(1-הנחות!D10)+N48</f>
        <v>0</v>
      </c>
      <c r="O65" s="33">
        <f>N65*(1-הנחות!D10)+O48</f>
        <v>0</v>
      </c>
      <c r="P65" s="33">
        <f>O65*(1-הנחות!D10)+P48</f>
        <v>0</v>
      </c>
      <c r="Q65" s="33">
        <f>P65*(1-הנחות!D10)+Q48</f>
        <v>0</v>
      </c>
      <c r="R65" s="33">
        <f>Q65*(1-הנחות!D10)+R48</f>
        <v>0</v>
      </c>
      <c r="S65" s="33">
        <f>R65*(1-הנחות!D10)+S48</f>
        <v>0</v>
      </c>
      <c r="T65" s="33">
        <f>S65*(1-הנחות!D10)+T48</f>
        <v>0</v>
      </c>
      <c r="U65" s="33">
        <f>T65*(1-הנחות!D10)+U48</f>
        <v>0</v>
      </c>
      <c r="V65" s="33">
        <f>U65*(1-הנחות!D10)+V48</f>
        <v>0</v>
      </c>
      <c r="W65" s="33">
        <f>V65*(1-הנחות!D10)+W48</f>
        <v>0</v>
      </c>
      <c r="X65" s="33">
        <f>W65*(1-הנחות!D10)+X48</f>
        <v>0</v>
      </c>
      <c r="Y65" s="33">
        <f>X65*(1-הנחות!D10)+Y48</f>
        <v>0</v>
      </c>
      <c r="Z65" s="33">
        <f>Y65*(1-הנחות!D10)+Z48</f>
        <v>0</v>
      </c>
      <c r="AA65" s="33">
        <f>Z65*(1-הנחות!D10)+AA48</f>
        <v>0</v>
      </c>
      <c r="AB65" s="33">
        <f>AA65*(1-הנחות!D10)+AB48</f>
        <v>0</v>
      </c>
      <c r="AC65" s="33">
        <f>AB65*(1-הנחות!D10)+AC48</f>
        <v>0</v>
      </c>
      <c r="AD65" s="33">
        <f>AC65*(1-הנחות!D10)+AD48</f>
        <v>0</v>
      </c>
      <c r="AE65" s="33">
        <f>AD65*(1-הנחות!D10)+AE48</f>
        <v>0</v>
      </c>
      <c r="AF65" s="33">
        <f>AE65*(1-הנחות!D10)+AF48</f>
        <v>0</v>
      </c>
      <c r="AG65" s="33">
        <f>AF65*(1-הנחות!D10)+AG48</f>
        <v>0</v>
      </c>
      <c r="AH65" s="33">
        <f>AG65*(1-הנחות!D10)+AH48</f>
        <v>0</v>
      </c>
      <c r="AI65" s="33">
        <f>AH65*(1-הנחות!D10)+AI48</f>
        <v>0</v>
      </c>
      <c r="AJ65" s="33">
        <f>AI65*(1-הנחות!D10)+AJ48</f>
        <v>0</v>
      </c>
      <c r="AK65" s="33">
        <f>AJ65*(1-הנחות!D10)+AK48</f>
        <v>0</v>
      </c>
      <c r="AL65" s="33">
        <f>AK65*(1-הנחות!D10)+AL48</f>
        <v>0</v>
      </c>
      <c r="AM65" s="33">
        <f>AL65*(1-הנחות!D10)+AM48</f>
        <v>0</v>
      </c>
      <c r="AN65" s="33">
        <f>AM65*(1-הנחות!D10)+AN48</f>
        <v>0</v>
      </c>
      <c r="AO65" s="33">
        <f>AN65*(1-הנחות!D10)+AO48</f>
        <v>0</v>
      </c>
      <c r="AP65" s="33">
        <f>AO65*(1-הנחות!D10)+AP48</f>
        <v>0</v>
      </c>
      <c r="AQ65" s="33">
        <f>AP65*(1-הנחות!D10)+AQ48</f>
        <v>0</v>
      </c>
      <c r="AR65" s="33">
        <f>AQ65*(1-הנחות!D10)+AR48</f>
        <v>0</v>
      </c>
      <c r="AS65" s="33">
        <f>AR65*(1-הנחות!D10)+AS48</f>
        <v>0</v>
      </c>
      <c r="AT65" s="33">
        <f>AS65*(1-הנחות!D10)+AT48</f>
        <v>0</v>
      </c>
      <c r="AU65" s="33">
        <f>AT65*(1-הנחות!D10)+AU48</f>
        <v>0</v>
      </c>
      <c r="AV65" s="33">
        <f>AU65*(1-הנחות!D10)+AV48</f>
        <v>0</v>
      </c>
      <c r="AW65" s="33">
        <f>AV65*(1-הנחות!D10)+AW48</f>
        <v>0</v>
      </c>
      <c r="AX65" s="33">
        <f>AW65*(1-הנחות!D10)+AX48</f>
        <v>8.3333333333333329E-2</v>
      </c>
      <c r="AY65" s="33">
        <f>AX65*(1-הנחות!D10)+AY48</f>
        <v>0.16649999999999998</v>
      </c>
      <c r="AZ65" s="33">
        <f>AY65*(1-הנחות!D10)+AZ48</f>
        <v>0.24950033333333332</v>
      </c>
      <c r="BA65" s="33">
        <f>AZ65*(1-הנחות!D10)+BA48</f>
        <v>0.332334666</v>
      </c>
      <c r="BB65" s="33">
        <f>BA65*(1-הנחות!D10)+BB48</f>
        <v>0.41500333000133333</v>
      </c>
      <c r="BC65" s="33">
        <f>BB65*(1-הנחות!D10)+BC48</f>
        <v>0.49750665667466398</v>
      </c>
      <c r="BD65" s="33">
        <f>BC65*(1-הנחות!D10)+BD48</f>
        <v>0.57984497669464796</v>
      </c>
      <c r="BE65" s="33">
        <f>BD65*(1-הנחות!D10)+BE48</f>
        <v>0.662018620074592</v>
      </c>
      <c r="BF65" s="33">
        <f>BE65*(1-הנחות!D10)+BF48</f>
        <v>0.74402791616777619</v>
      </c>
      <c r="BG65" s="33">
        <f>BF65*(1-הנחות!D10)+BG48</f>
        <v>0.82587319366877399</v>
      </c>
      <c r="BH65" s="33">
        <f>BG65*(1-הנחות!D10)+BH48</f>
        <v>0.9075547806147698</v>
      </c>
      <c r="BI65" s="33">
        <f>BH65*(1-הנחות!D10)+BI48</f>
        <v>0.98907300438687362</v>
      </c>
    </row>
    <row r="67" spans="1:61" x14ac:dyDescent="0.25">
      <c r="A67" s="68" t="s">
        <v>199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</row>
    <row r="68" spans="1:61" x14ac:dyDescent="0.25">
      <c r="A68" s="31" t="s">
        <v>200</v>
      </c>
      <c r="B68" s="34">
        <f>IF(1&lt;6,0,הנחות!B7+(הנחות!B8-הנחות!B7)*MIN(MAX(1-9,0)/הנחות!B9,1))</f>
        <v>0</v>
      </c>
      <c r="C68" s="34">
        <f>IF(2&lt;6,0,הנחות!B7+(הנחות!B8-הנחות!B7)*MIN(MAX(2-9,0)/הנחות!B9,1))</f>
        <v>0</v>
      </c>
      <c r="D68" s="34">
        <f>IF(3&lt;6,0,הנחות!B7+(הנחות!B8-הנחות!B7)*MIN(MAX(3-9,0)/הנחות!B9,1))</f>
        <v>0</v>
      </c>
      <c r="E68" s="34">
        <f>IF(4&lt;6,0,הנחות!B7+(הנחות!B8-הנחות!B7)*MIN(MAX(4-9,0)/הנחות!B9,1))</f>
        <v>0</v>
      </c>
      <c r="F68" s="34">
        <f>IF(5&lt;6,0,הנחות!B7+(הנחות!B8-הנחות!B7)*MIN(MAX(5-9,0)/הנחות!B9,1))</f>
        <v>0</v>
      </c>
      <c r="G68" s="34">
        <f>IF(6&lt;6,0,הנחות!B7+(הנחות!B8-הנחות!B7)*MIN(MAX(6-9,0)/הנחות!B9,1))</f>
        <v>500</v>
      </c>
      <c r="H68" s="34">
        <f>IF(7&lt;6,0,הנחות!B7+(הנחות!B8-הנחות!B7)*MIN(MAX(7-9,0)/הנחות!B9,1))</f>
        <v>500</v>
      </c>
      <c r="I68" s="34">
        <f>IF(8&lt;6,0,הנחות!B7+(הנחות!B8-הנחות!B7)*MIN(MAX(8-9,0)/הנחות!B9,1))</f>
        <v>500</v>
      </c>
      <c r="J68" s="34">
        <f>IF(9&lt;6,0,הנחות!B7+(הנחות!B8-הנחות!B7)*MIN(MAX(9-9,0)/הנחות!B9,1))</f>
        <v>500</v>
      </c>
      <c r="K68" s="34">
        <f>IF(10&lt;6,0,הנחות!B7+(הנחות!B8-הנחות!B7)*MIN(MAX(10-9,0)/הנחות!B9,1))</f>
        <v>604.16666666666663</v>
      </c>
      <c r="L68" s="34">
        <f>IF(11&lt;6,0,הנחות!B7+(הנחות!B8-הנחות!B7)*MIN(MAX(11-9,0)/הנחות!B9,1))</f>
        <v>708.33333333333326</v>
      </c>
      <c r="M68" s="34">
        <f>IF(12&lt;6,0,הנחות!B7+(הנחות!B8-הנחות!B7)*MIN(MAX(12-9,0)/הנחות!B9,1))</f>
        <v>812.5</v>
      </c>
      <c r="N68" s="34">
        <f>IF(13&lt;6,0,הנחות!B7+(הנחות!B8-הנחות!B7)*MIN(MAX(13-9,0)/הנחות!B9,1))</f>
        <v>916.66666666666663</v>
      </c>
      <c r="O68" s="34">
        <f>IF(14&lt;6,0,הנחות!B7+(הנחות!B8-הנחות!B7)*MIN(MAX(14-9,0)/הנחות!B9,1))</f>
        <v>1020.8333333333334</v>
      </c>
      <c r="P68" s="34">
        <f>IF(15&lt;6,0,הנחות!B7+(הנחות!B8-הנחות!B7)*MIN(MAX(15-9,0)/הנחות!B9,1))</f>
        <v>1125</v>
      </c>
      <c r="Q68" s="34">
        <f>IF(16&lt;6,0,הנחות!B7+(הנחות!B8-הנחות!B7)*MIN(MAX(16-9,0)/הנחות!B9,1))</f>
        <v>1229.1666666666667</v>
      </c>
      <c r="R68" s="34">
        <f>IF(17&lt;6,0,הנחות!B7+(הנחות!B8-הנחות!B7)*MIN(MAX(17-9,0)/הנחות!B9,1))</f>
        <v>1333.3333333333333</v>
      </c>
      <c r="S68" s="34">
        <f>IF(18&lt;6,0,הנחות!B7+(הנחות!B8-הנחות!B7)*MIN(MAX(18-9,0)/הנחות!B9,1))</f>
        <v>1437.5</v>
      </c>
      <c r="T68" s="34">
        <f>IF(19&lt;6,0,הנחות!B7+(הנחות!B8-הנחות!B7)*MIN(MAX(19-9,0)/הנחות!B9,1))</f>
        <v>1541.6666666666667</v>
      </c>
      <c r="U68" s="34">
        <f>IF(20&lt;6,0,הנחות!B7+(הנחות!B8-הנחות!B7)*MIN(MAX(20-9,0)/הנחות!B9,1))</f>
        <v>1645.8333333333333</v>
      </c>
      <c r="V68" s="34">
        <f>IF(21&lt;6,0,הנחות!B7+(הנחות!B8-הנחות!B7)*MIN(MAX(21-9,0)/הנחות!B9,1))</f>
        <v>1750</v>
      </c>
      <c r="W68" s="34">
        <f>IF(22&lt;6,0,הנחות!B7+(הנחות!B8-הנחות!B7)*MIN(MAX(22-9,0)/הנחות!B9,1))</f>
        <v>1854.1666666666665</v>
      </c>
      <c r="X68" s="34">
        <f>IF(23&lt;6,0,הנחות!B7+(הנחות!B8-הנחות!B7)*MIN(MAX(23-9,0)/הנחות!B9,1))</f>
        <v>1958.3333333333335</v>
      </c>
      <c r="Y68" s="34">
        <f>IF(24&lt;6,0,הנחות!B7+(הנחות!B8-הנחות!B7)*MIN(MAX(24-9,0)/הנחות!B9,1))</f>
        <v>2062.5</v>
      </c>
      <c r="Z68" s="34">
        <f>IF(25&lt;6,0,הנחות!B7+(הנחות!B8-הנחות!B7)*MIN(MAX(25-9,0)/הנחות!B9,1))</f>
        <v>2166.6666666666665</v>
      </c>
      <c r="AA68" s="34">
        <f>IF(26&lt;6,0,הנחות!B7+(הנחות!B8-הנחות!B7)*MIN(MAX(26-9,0)/הנחות!B9,1))</f>
        <v>2270.8333333333335</v>
      </c>
      <c r="AB68" s="34">
        <f>IF(27&lt;6,0,הנחות!B7+(הנחות!B8-הנחות!B7)*MIN(MAX(27-9,0)/הנחות!B9,1))</f>
        <v>2375</v>
      </c>
      <c r="AC68" s="34">
        <f>IF(28&lt;6,0,הנחות!B7+(הנחות!B8-הנחות!B7)*MIN(MAX(28-9,0)/הנחות!B9,1))</f>
        <v>2479.1666666666665</v>
      </c>
      <c r="AD68" s="34">
        <f>IF(29&lt;6,0,הנחות!B7+(הנחות!B8-הנחות!B7)*MIN(MAX(29-9,0)/הנחות!B9,1))</f>
        <v>2583.3333333333335</v>
      </c>
      <c r="AE68" s="34">
        <f>IF(30&lt;6,0,הנחות!B7+(הנחות!B8-הנחות!B7)*MIN(MAX(30-9,0)/הנחות!B9,1))</f>
        <v>2687.5</v>
      </c>
      <c r="AF68" s="34">
        <f>IF(31&lt;6,0,הנחות!B7+(הנחות!B8-הנחות!B7)*MIN(MAX(31-9,0)/הנחות!B9,1))</f>
        <v>2791.6666666666665</v>
      </c>
      <c r="AG68" s="34">
        <f>IF(32&lt;6,0,הנחות!B7+(הנחות!B8-הנחות!B7)*MIN(MAX(32-9,0)/הנחות!B9,1))</f>
        <v>2895.8333333333335</v>
      </c>
      <c r="AH68" s="34">
        <f>IF(33&lt;6,0,הנחות!B7+(הנחות!B8-הנחות!B7)*MIN(MAX(33-9,0)/הנחות!B9,1))</f>
        <v>3000</v>
      </c>
      <c r="AI68" s="34">
        <f>IF(34&lt;6,0,הנחות!B7+(הנחות!B8-הנחות!B7)*MIN(MAX(34-9,0)/הנחות!B9,1))</f>
        <v>3000</v>
      </c>
      <c r="AJ68" s="34">
        <f>IF(35&lt;6,0,הנחות!B7+(הנחות!B8-הנחות!B7)*MIN(MAX(35-9,0)/הנחות!B9,1))</f>
        <v>3000</v>
      </c>
      <c r="AK68" s="34">
        <f>IF(36&lt;6,0,הנחות!B7+(הנחות!B8-הנחות!B7)*MIN(MAX(36-9,0)/הנחות!B9,1))</f>
        <v>3000</v>
      </c>
      <c r="AL68" s="34">
        <f>IF(37&lt;6,0,הנחות!B7+(הנחות!B8-הנחות!B7)*MIN(MAX(37-9,0)/הנחות!B9,1))</f>
        <v>3000</v>
      </c>
      <c r="AM68" s="34">
        <f>IF(38&lt;6,0,הנחות!B7+(הנחות!B8-הנחות!B7)*MIN(MAX(38-9,0)/הנחות!B9,1))</f>
        <v>3000</v>
      </c>
      <c r="AN68" s="34">
        <f>IF(39&lt;6,0,הנחות!B7+(הנחות!B8-הנחות!B7)*MIN(MAX(39-9,0)/הנחות!B9,1))</f>
        <v>3000</v>
      </c>
      <c r="AO68" s="34">
        <f>IF(40&lt;6,0,הנחות!B7+(הנחות!B8-הנחות!B7)*MIN(MAX(40-9,0)/הנחות!B9,1))</f>
        <v>3000</v>
      </c>
      <c r="AP68" s="34">
        <f>IF(41&lt;6,0,הנחות!B7+(הנחות!B8-הנחות!B7)*MIN(MAX(41-9,0)/הנחות!B9,1))</f>
        <v>3000</v>
      </c>
      <c r="AQ68" s="34">
        <f>IF(42&lt;6,0,הנחות!B7+(הנחות!B8-הנחות!B7)*MIN(MAX(42-9,0)/הנחות!B9,1))</f>
        <v>3000</v>
      </c>
      <c r="AR68" s="34">
        <f>IF(43&lt;6,0,הנחות!B7+(הנחות!B8-הנחות!B7)*MIN(MAX(43-9,0)/הנחות!B9,1))</f>
        <v>3000</v>
      </c>
      <c r="AS68" s="34">
        <f>IF(44&lt;6,0,הנחות!B7+(הנחות!B8-הנחות!B7)*MIN(MAX(44-9,0)/הנחות!B9,1))</f>
        <v>3000</v>
      </c>
      <c r="AT68" s="34">
        <f>IF(45&lt;6,0,הנחות!B7+(הנחות!B8-הנחות!B7)*MIN(MAX(45-9,0)/הנחות!B9,1))</f>
        <v>3000</v>
      </c>
      <c r="AU68" s="34">
        <f>IF(46&lt;6,0,הנחות!B7+(הנחות!B8-הנחות!B7)*MIN(MAX(46-9,0)/הנחות!B9,1))</f>
        <v>3000</v>
      </c>
      <c r="AV68" s="34">
        <f>IF(47&lt;6,0,הנחות!B7+(הנחות!B8-הנחות!B7)*MIN(MAX(47-9,0)/הנחות!B9,1))</f>
        <v>3000</v>
      </c>
      <c r="AW68" s="34">
        <f>IF(48&lt;6,0,הנחות!B7+(הנחות!B8-הנחות!B7)*MIN(MAX(48-9,0)/הנחות!B9,1))</f>
        <v>3000</v>
      </c>
      <c r="AX68" s="34">
        <f>IF(49&lt;6,0,הנחות!B7+(הנחות!B8-הנחות!B7)*MIN(MAX(49-9,0)/הנחות!B9,1))</f>
        <v>3000</v>
      </c>
      <c r="AY68" s="34">
        <f>IF(50&lt;6,0,הנחות!B7+(הנחות!B8-הנחות!B7)*MIN(MAX(50-9,0)/הנחות!B9,1))</f>
        <v>3000</v>
      </c>
      <c r="AZ68" s="34">
        <f>IF(51&lt;6,0,הנחות!B7+(הנחות!B8-הנחות!B7)*MIN(MAX(51-9,0)/הנחות!B9,1))</f>
        <v>3000</v>
      </c>
      <c r="BA68" s="34">
        <f>IF(52&lt;6,0,הנחות!B7+(הנחות!B8-הנחות!B7)*MIN(MAX(52-9,0)/הנחות!B9,1))</f>
        <v>3000</v>
      </c>
      <c r="BB68" s="34">
        <f>IF(53&lt;6,0,הנחות!B7+(הנחות!B8-הנחות!B7)*MIN(MAX(53-9,0)/הנחות!B9,1))</f>
        <v>3000</v>
      </c>
      <c r="BC68" s="34">
        <f>IF(54&lt;6,0,הנחות!B7+(הנחות!B8-הנחות!B7)*MIN(MAX(54-9,0)/הנחות!B9,1))</f>
        <v>3000</v>
      </c>
      <c r="BD68" s="34">
        <f>IF(55&lt;6,0,הנחות!B7+(הנחות!B8-הנחות!B7)*MIN(MAX(55-9,0)/הנחות!B9,1))</f>
        <v>3000</v>
      </c>
      <c r="BE68" s="34">
        <f>IF(56&lt;6,0,הנחות!B7+(הנחות!B8-הנחות!B7)*MIN(MAX(56-9,0)/הנחות!B9,1))</f>
        <v>3000</v>
      </c>
      <c r="BF68" s="34">
        <f>IF(57&lt;6,0,הנחות!B7+(הנחות!B8-הנחות!B7)*MIN(MAX(57-9,0)/הנחות!B9,1))</f>
        <v>3000</v>
      </c>
      <c r="BG68" s="34">
        <f>IF(58&lt;6,0,הנחות!B7+(הנחות!B8-הנחות!B7)*MIN(MAX(58-9,0)/הנחות!B9,1))</f>
        <v>3000</v>
      </c>
      <c r="BH68" s="34">
        <f>IF(59&lt;6,0,הנחות!B7+(הנחות!B8-הנחות!B7)*MIN(MAX(59-9,0)/הנחות!B9,1))</f>
        <v>3000</v>
      </c>
      <c r="BI68" s="34">
        <f>IF(60&lt;6,0,הנחות!B7+(הנחות!B8-הנחות!B7)*MIN(MAX(60-9,0)/הנחות!B9,1))</f>
        <v>3000</v>
      </c>
    </row>
    <row r="69" spans="1:61" x14ac:dyDescent="0.25">
      <c r="A69" s="31" t="s">
        <v>201</v>
      </c>
      <c r="B69" s="34">
        <f>IF(1&lt;13,0,הנחות!B7+(הנחות!B8-הנחות!B7)*MIN(MAX(1-18,0)/הנחות!B9,1))</f>
        <v>0</v>
      </c>
      <c r="C69" s="34">
        <f>IF(2&lt;13,0,הנחות!B7+(הנחות!B8-הנחות!B7)*MIN(MAX(2-18,0)/הנחות!B9,1))</f>
        <v>0</v>
      </c>
      <c r="D69" s="34">
        <f>IF(3&lt;13,0,הנחות!B7+(הנחות!B8-הנחות!B7)*MIN(MAX(3-18,0)/הנחות!B9,1))</f>
        <v>0</v>
      </c>
      <c r="E69" s="34">
        <f>IF(4&lt;13,0,הנחות!B7+(הנחות!B8-הנחות!B7)*MIN(MAX(4-18,0)/הנחות!B9,1))</f>
        <v>0</v>
      </c>
      <c r="F69" s="34">
        <f>IF(5&lt;13,0,הנחות!B7+(הנחות!B8-הנחות!B7)*MIN(MAX(5-18,0)/הנחות!B9,1))</f>
        <v>0</v>
      </c>
      <c r="G69" s="34">
        <f>IF(6&lt;13,0,הנחות!B7+(הנחות!B8-הנחות!B7)*MIN(MAX(6-18,0)/הנחות!B9,1))</f>
        <v>0</v>
      </c>
      <c r="H69" s="34">
        <f>IF(7&lt;13,0,הנחות!B7+(הנחות!B8-הנחות!B7)*MIN(MAX(7-18,0)/הנחות!B9,1))</f>
        <v>0</v>
      </c>
      <c r="I69" s="34">
        <f>IF(8&lt;13,0,הנחות!B7+(הנחות!B8-הנחות!B7)*MIN(MAX(8-18,0)/הנחות!B9,1))</f>
        <v>0</v>
      </c>
      <c r="J69" s="34">
        <f>IF(9&lt;13,0,הנחות!B7+(הנחות!B8-הנחות!B7)*MIN(MAX(9-18,0)/הנחות!B9,1))</f>
        <v>0</v>
      </c>
      <c r="K69" s="34">
        <f>IF(10&lt;13,0,הנחות!B7+(הנחות!B8-הנחות!B7)*MIN(MAX(10-18,0)/הנחות!B9,1))</f>
        <v>0</v>
      </c>
      <c r="L69" s="34">
        <f>IF(11&lt;13,0,הנחות!B7+(הנחות!B8-הנחות!B7)*MIN(MAX(11-18,0)/הנחות!B9,1))</f>
        <v>0</v>
      </c>
      <c r="M69" s="34">
        <f>IF(12&lt;13,0,הנחות!B7+(הנחות!B8-הנחות!B7)*MIN(MAX(12-18,0)/הנחות!B9,1))</f>
        <v>0</v>
      </c>
      <c r="N69" s="34">
        <f>IF(13&lt;13,0,הנחות!B7+(הנחות!B8-הנחות!B7)*MIN(MAX(13-18,0)/הנחות!B9,1))</f>
        <v>500</v>
      </c>
      <c r="O69" s="34">
        <f>IF(14&lt;13,0,הנחות!B7+(הנחות!B8-הנחות!B7)*MIN(MAX(14-18,0)/הנחות!B9,1))</f>
        <v>500</v>
      </c>
      <c r="P69" s="34">
        <f>IF(15&lt;13,0,הנחות!B7+(הנחות!B8-הנחות!B7)*MIN(MAX(15-18,0)/הנחות!B9,1))</f>
        <v>500</v>
      </c>
      <c r="Q69" s="34">
        <f>IF(16&lt;13,0,הנחות!B7+(הנחות!B8-הנחות!B7)*MIN(MAX(16-18,0)/הנחות!B9,1))</f>
        <v>500</v>
      </c>
      <c r="R69" s="34">
        <f>IF(17&lt;13,0,הנחות!B7+(הנחות!B8-הנחות!B7)*MIN(MAX(17-18,0)/הנחות!B9,1))</f>
        <v>500</v>
      </c>
      <c r="S69" s="34">
        <f>IF(18&lt;13,0,הנחות!B7+(הנחות!B8-הנחות!B7)*MIN(MAX(18-18,0)/הנחות!B9,1))</f>
        <v>500</v>
      </c>
      <c r="T69" s="34">
        <f>IF(19&lt;13,0,הנחות!B7+(הנחות!B8-הנחות!B7)*MIN(MAX(19-18,0)/הנחות!B9,1))</f>
        <v>604.16666666666663</v>
      </c>
      <c r="U69" s="34">
        <f>IF(20&lt;13,0,הנחות!B7+(הנחות!B8-הנחות!B7)*MIN(MAX(20-18,0)/הנחות!B9,1))</f>
        <v>708.33333333333326</v>
      </c>
      <c r="V69" s="34">
        <f>IF(21&lt;13,0,הנחות!B7+(הנחות!B8-הנחות!B7)*MIN(MAX(21-18,0)/הנחות!B9,1))</f>
        <v>812.5</v>
      </c>
      <c r="W69" s="34">
        <f>IF(22&lt;13,0,הנחות!B7+(הנחות!B8-הנחות!B7)*MIN(MAX(22-18,0)/הנחות!B9,1))</f>
        <v>916.66666666666663</v>
      </c>
      <c r="X69" s="34">
        <f>IF(23&lt;13,0,הנחות!B7+(הנחות!B8-הנחות!B7)*MIN(MAX(23-18,0)/הנחות!B9,1))</f>
        <v>1020.8333333333334</v>
      </c>
      <c r="Y69" s="34">
        <f>IF(24&lt;13,0,הנחות!B7+(הנחות!B8-הנחות!B7)*MIN(MAX(24-18,0)/הנחות!B9,1))</f>
        <v>1125</v>
      </c>
      <c r="Z69" s="34">
        <f>IF(25&lt;13,0,הנחות!B7+(הנחות!B8-הנחות!B7)*MIN(MAX(25-18,0)/הנחות!B9,1))</f>
        <v>1229.1666666666667</v>
      </c>
      <c r="AA69" s="34">
        <f>IF(26&lt;13,0,הנחות!B7+(הנחות!B8-הנחות!B7)*MIN(MAX(26-18,0)/הנחות!B9,1))</f>
        <v>1333.3333333333333</v>
      </c>
      <c r="AB69" s="34">
        <f>IF(27&lt;13,0,הנחות!B7+(הנחות!B8-הנחות!B7)*MIN(MAX(27-18,0)/הנחות!B9,1))</f>
        <v>1437.5</v>
      </c>
      <c r="AC69" s="34">
        <f>IF(28&lt;13,0,הנחות!B7+(הנחות!B8-הנחות!B7)*MIN(MAX(28-18,0)/הנחות!B9,1))</f>
        <v>1541.6666666666667</v>
      </c>
      <c r="AD69" s="34">
        <f>IF(29&lt;13,0,הנחות!B7+(הנחות!B8-הנחות!B7)*MIN(MAX(29-18,0)/הנחות!B9,1))</f>
        <v>1645.8333333333333</v>
      </c>
      <c r="AE69" s="34">
        <f>IF(30&lt;13,0,הנחות!B7+(הנחות!B8-הנחות!B7)*MIN(MAX(30-18,0)/הנחות!B9,1))</f>
        <v>1750</v>
      </c>
      <c r="AF69" s="34">
        <f>IF(31&lt;13,0,הנחות!B7+(הנחות!B8-הנחות!B7)*MIN(MAX(31-18,0)/הנחות!B9,1))</f>
        <v>1854.1666666666665</v>
      </c>
      <c r="AG69" s="34">
        <f>IF(32&lt;13,0,הנחות!B7+(הנחות!B8-הנחות!B7)*MIN(MAX(32-18,0)/הנחות!B9,1))</f>
        <v>1958.3333333333335</v>
      </c>
      <c r="AH69" s="34">
        <f>IF(33&lt;13,0,הנחות!B7+(הנחות!B8-הנחות!B7)*MIN(MAX(33-18,0)/הנחות!B9,1))</f>
        <v>2062.5</v>
      </c>
      <c r="AI69" s="34">
        <f>IF(34&lt;13,0,הנחות!B7+(הנחות!B8-הנחות!B7)*MIN(MAX(34-18,0)/הנחות!B9,1))</f>
        <v>2166.6666666666665</v>
      </c>
      <c r="AJ69" s="34">
        <f>IF(35&lt;13,0,הנחות!B7+(הנחות!B8-הנחות!B7)*MIN(MAX(35-18,0)/הנחות!B9,1))</f>
        <v>2270.8333333333335</v>
      </c>
      <c r="AK69" s="34">
        <f>IF(36&lt;13,0,הנחות!B7+(הנחות!B8-הנחות!B7)*MIN(MAX(36-18,0)/הנחות!B9,1))</f>
        <v>2375</v>
      </c>
      <c r="AL69" s="34">
        <f>IF(37&lt;13,0,הנחות!B7+(הנחות!B8-הנחות!B7)*MIN(MAX(37-18,0)/הנחות!B9,1))</f>
        <v>2479.1666666666665</v>
      </c>
      <c r="AM69" s="34">
        <f>IF(38&lt;13,0,הנחות!B7+(הנחות!B8-הנחות!B7)*MIN(MAX(38-18,0)/הנחות!B9,1))</f>
        <v>2583.3333333333335</v>
      </c>
      <c r="AN69" s="34">
        <f>IF(39&lt;13,0,הנחות!B7+(הנחות!B8-הנחות!B7)*MIN(MAX(39-18,0)/הנחות!B9,1))</f>
        <v>2687.5</v>
      </c>
      <c r="AO69" s="34">
        <f>IF(40&lt;13,0,הנחות!B7+(הנחות!B8-הנחות!B7)*MIN(MAX(40-18,0)/הנחות!B9,1))</f>
        <v>2791.6666666666665</v>
      </c>
      <c r="AP69" s="34">
        <f>IF(41&lt;13,0,הנחות!B7+(הנחות!B8-הנחות!B7)*MIN(MAX(41-18,0)/הנחות!B9,1))</f>
        <v>2895.8333333333335</v>
      </c>
      <c r="AQ69" s="34">
        <f>IF(42&lt;13,0,הנחות!B7+(הנחות!B8-הנחות!B7)*MIN(MAX(42-18,0)/הנחות!B9,1))</f>
        <v>3000</v>
      </c>
      <c r="AR69" s="34">
        <f>IF(43&lt;13,0,הנחות!B7+(הנחות!B8-הנחות!B7)*MIN(MAX(43-18,0)/הנחות!B9,1))</f>
        <v>3000</v>
      </c>
      <c r="AS69" s="34">
        <f>IF(44&lt;13,0,הנחות!B7+(הנחות!B8-הנחות!B7)*MIN(MAX(44-18,0)/הנחות!B9,1))</f>
        <v>3000</v>
      </c>
      <c r="AT69" s="34">
        <f>IF(45&lt;13,0,הנחות!B7+(הנחות!B8-הנחות!B7)*MIN(MAX(45-18,0)/הנחות!B9,1))</f>
        <v>3000</v>
      </c>
      <c r="AU69" s="34">
        <f>IF(46&lt;13,0,הנחות!B7+(הנחות!B8-הנחות!B7)*MIN(MAX(46-18,0)/הנחות!B9,1))</f>
        <v>3000</v>
      </c>
      <c r="AV69" s="34">
        <f>IF(47&lt;13,0,הנחות!B7+(הנחות!B8-הנחות!B7)*MIN(MAX(47-18,0)/הנחות!B9,1))</f>
        <v>3000</v>
      </c>
      <c r="AW69" s="34">
        <f>IF(48&lt;13,0,הנחות!B7+(הנחות!B8-הנחות!B7)*MIN(MAX(48-18,0)/הנחות!B9,1))</f>
        <v>3000</v>
      </c>
      <c r="AX69" s="34">
        <f>IF(49&lt;13,0,הנחות!B7+(הנחות!B8-הנחות!B7)*MIN(MAX(49-18,0)/הנחות!B9,1))</f>
        <v>3000</v>
      </c>
      <c r="AY69" s="34">
        <f>IF(50&lt;13,0,הנחות!B7+(הנחות!B8-הנחות!B7)*MIN(MAX(50-18,0)/הנחות!B9,1))</f>
        <v>3000</v>
      </c>
      <c r="AZ69" s="34">
        <f>IF(51&lt;13,0,הנחות!B7+(הנחות!B8-הנחות!B7)*MIN(MAX(51-18,0)/הנחות!B9,1))</f>
        <v>3000</v>
      </c>
      <c r="BA69" s="34">
        <f>IF(52&lt;13,0,הנחות!B7+(הנחות!B8-הנחות!B7)*MIN(MAX(52-18,0)/הנחות!B9,1))</f>
        <v>3000</v>
      </c>
      <c r="BB69" s="34">
        <f>IF(53&lt;13,0,הנחות!B7+(הנחות!B8-הנחות!B7)*MIN(MAX(53-18,0)/הנחות!B9,1))</f>
        <v>3000</v>
      </c>
      <c r="BC69" s="34">
        <f>IF(54&lt;13,0,הנחות!B7+(הנחות!B8-הנחות!B7)*MIN(MAX(54-18,0)/הנחות!B9,1))</f>
        <v>3000</v>
      </c>
      <c r="BD69" s="34">
        <f>IF(55&lt;13,0,הנחות!B7+(הנחות!B8-הנחות!B7)*MIN(MAX(55-18,0)/הנחות!B9,1))</f>
        <v>3000</v>
      </c>
      <c r="BE69" s="34">
        <f>IF(56&lt;13,0,הנחות!B7+(הנחות!B8-הנחות!B7)*MIN(MAX(56-18,0)/הנחות!B9,1))</f>
        <v>3000</v>
      </c>
      <c r="BF69" s="34">
        <f>IF(57&lt;13,0,הנחות!B7+(הנחות!B8-הנחות!B7)*MIN(MAX(57-18,0)/הנחות!B9,1))</f>
        <v>3000</v>
      </c>
      <c r="BG69" s="34">
        <f>IF(58&lt;13,0,הנחות!B7+(הנחות!B8-הנחות!B7)*MIN(MAX(58-18,0)/הנחות!B9,1))</f>
        <v>3000</v>
      </c>
      <c r="BH69" s="34">
        <f>IF(59&lt;13,0,הנחות!B7+(הנחות!B8-הנחות!B7)*MIN(MAX(59-18,0)/הנחות!B9,1))</f>
        <v>3000</v>
      </c>
      <c r="BI69" s="34">
        <f>IF(60&lt;13,0,הנחות!B7+(הנחות!B8-הנחות!B7)*MIN(MAX(60-18,0)/הנחות!B9,1))</f>
        <v>3000</v>
      </c>
    </row>
    <row r="70" spans="1:61" x14ac:dyDescent="0.25">
      <c r="A70" s="31" t="s">
        <v>202</v>
      </c>
      <c r="B70" s="34">
        <f>IF(1&lt;25,0,הנחות!B7+(הנחות!B8-הנחות!B7)*MIN(MAX(1-30,0)/הנחות!B9,1))</f>
        <v>0</v>
      </c>
      <c r="C70" s="34">
        <f>IF(2&lt;25,0,הנחות!B7+(הנחות!B8-הנחות!B7)*MIN(MAX(2-30,0)/הנחות!B9,1))</f>
        <v>0</v>
      </c>
      <c r="D70" s="34">
        <f>IF(3&lt;25,0,הנחות!B7+(הנחות!B8-הנחות!B7)*MIN(MAX(3-30,0)/הנחות!B9,1))</f>
        <v>0</v>
      </c>
      <c r="E70" s="34">
        <f>IF(4&lt;25,0,הנחות!B7+(הנחות!B8-הנחות!B7)*MIN(MAX(4-30,0)/הנחות!B9,1))</f>
        <v>0</v>
      </c>
      <c r="F70" s="34">
        <f>IF(5&lt;25,0,הנחות!B7+(הנחות!B8-הנחות!B7)*MIN(MAX(5-30,0)/הנחות!B9,1))</f>
        <v>0</v>
      </c>
      <c r="G70" s="34">
        <f>IF(6&lt;25,0,הנחות!B7+(הנחות!B8-הנחות!B7)*MIN(MAX(6-30,0)/הנחות!B9,1))</f>
        <v>0</v>
      </c>
      <c r="H70" s="34">
        <f>IF(7&lt;25,0,הנחות!B7+(הנחות!B8-הנחות!B7)*MIN(MAX(7-30,0)/הנחות!B9,1))</f>
        <v>0</v>
      </c>
      <c r="I70" s="34">
        <f>IF(8&lt;25,0,הנחות!B7+(הנחות!B8-הנחות!B7)*MIN(MAX(8-30,0)/הנחות!B9,1))</f>
        <v>0</v>
      </c>
      <c r="J70" s="34">
        <f>IF(9&lt;25,0,הנחות!B7+(הנחות!B8-הנחות!B7)*MIN(MAX(9-30,0)/הנחות!B9,1))</f>
        <v>0</v>
      </c>
      <c r="K70" s="34">
        <f>IF(10&lt;25,0,הנחות!B7+(הנחות!B8-הנחות!B7)*MIN(MAX(10-30,0)/הנחות!B9,1))</f>
        <v>0</v>
      </c>
      <c r="L70" s="34">
        <f>IF(11&lt;25,0,הנחות!B7+(הנחות!B8-הנחות!B7)*MIN(MAX(11-30,0)/הנחות!B9,1))</f>
        <v>0</v>
      </c>
      <c r="M70" s="34">
        <f>IF(12&lt;25,0,הנחות!B7+(הנחות!B8-הנחות!B7)*MIN(MAX(12-30,0)/הנחות!B9,1))</f>
        <v>0</v>
      </c>
      <c r="N70" s="34">
        <f>IF(13&lt;25,0,הנחות!B7+(הנחות!B8-הנחות!B7)*MIN(MAX(13-30,0)/הנחות!B9,1))</f>
        <v>0</v>
      </c>
      <c r="O70" s="34">
        <f>IF(14&lt;25,0,הנחות!B7+(הנחות!B8-הנחות!B7)*MIN(MAX(14-30,0)/הנחות!B9,1))</f>
        <v>0</v>
      </c>
      <c r="P70" s="34">
        <f>IF(15&lt;25,0,הנחות!B7+(הנחות!B8-הנחות!B7)*MIN(MAX(15-30,0)/הנחות!B9,1))</f>
        <v>0</v>
      </c>
      <c r="Q70" s="34">
        <f>IF(16&lt;25,0,הנחות!B7+(הנחות!B8-הנחות!B7)*MIN(MAX(16-30,0)/הנחות!B9,1))</f>
        <v>0</v>
      </c>
      <c r="R70" s="34">
        <f>IF(17&lt;25,0,הנחות!B7+(הנחות!B8-הנחות!B7)*MIN(MAX(17-30,0)/הנחות!B9,1))</f>
        <v>0</v>
      </c>
      <c r="S70" s="34">
        <f>IF(18&lt;25,0,הנחות!B7+(הנחות!B8-הנחות!B7)*MIN(MAX(18-30,0)/הנחות!B9,1))</f>
        <v>0</v>
      </c>
      <c r="T70" s="34">
        <f>IF(19&lt;25,0,הנחות!B7+(הנחות!B8-הנחות!B7)*MIN(MAX(19-30,0)/הנחות!B9,1))</f>
        <v>0</v>
      </c>
      <c r="U70" s="34">
        <f>IF(20&lt;25,0,הנחות!B7+(הנחות!B8-הנחות!B7)*MIN(MAX(20-30,0)/הנחות!B9,1))</f>
        <v>0</v>
      </c>
      <c r="V70" s="34">
        <f>IF(21&lt;25,0,הנחות!B7+(הנחות!B8-הנחות!B7)*MIN(MAX(21-30,0)/הנחות!B9,1))</f>
        <v>0</v>
      </c>
      <c r="W70" s="34">
        <f>IF(22&lt;25,0,הנחות!B7+(הנחות!B8-הנחות!B7)*MIN(MAX(22-30,0)/הנחות!B9,1))</f>
        <v>0</v>
      </c>
      <c r="X70" s="34">
        <f>IF(23&lt;25,0,הנחות!B7+(הנחות!B8-הנחות!B7)*MIN(MAX(23-30,0)/הנחות!B9,1))</f>
        <v>0</v>
      </c>
      <c r="Y70" s="34">
        <f>IF(24&lt;25,0,הנחות!B7+(הנחות!B8-הנחות!B7)*MIN(MAX(24-30,0)/הנחות!B9,1))</f>
        <v>0</v>
      </c>
      <c r="Z70" s="34">
        <f>IF(25&lt;25,0,הנחות!B7+(הנחות!B8-הנחות!B7)*MIN(MAX(25-30,0)/הנחות!B9,1))</f>
        <v>500</v>
      </c>
      <c r="AA70" s="34">
        <f>IF(26&lt;25,0,הנחות!B7+(הנחות!B8-הנחות!B7)*MIN(MAX(26-30,0)/הנחות!B9,1))</f>
        <v>500</v>
      </c>
      <c r="AB70" s="34">
        <f>IF(27&lt;25,0,הנחות!B7+(הנחות!B8-הנחות!B7)*MIN(MAX(27-30,0)/הנחות!B9,1))</f>
        <v>500</v>
      </c>
      <c r="AC70" s="34">
        <f>IF(28&lt;25,0,הנחות!B7+(הנחות!B8-הנחות!B7)*MIN(MAX(28-30,0)/הנחות!B9,1))</f>
        <v>500</v>
      </c>
      <c r="AD70" s="34">
        <f>IF(29&lt;25,0,הנחות!B7+(הנחות!B8-הנחות!B7)*MIN(MAX(29-30,0)/הנחות!B9,1))</f>
        <v>500</v>
      </c>
      <c r="AE70" s="34">
        <f>IF(30&lt;25,0,הנחות!B7+(הנחות!B8-הנחות!B7)*MIN(MAX(30-30,0)/הנחות!B9,1))</f>
        <v>500</v>
      </c>
      <c r="AF70" s="34">
        <f>IF(31&lt;25,0,הנחות!B7+(הנחות!B8-הנחות!B7)*MIN(MAX(31-30,0)/הנחות!B9,1))</f>
        <v>604.16666666666663</v>
      </c>
      <c r="AG70" s="34">
        <f>IF(32&lt;25,0,הנחות!B7+(הנחות!B8-הנחות!B7)*MIN(MAX(32-30,0)/הנחות!B9,1))</f>
        <v>708.33333333333326</v>
      </c>
      <c r="AH70" s="34">
        <f>IF(33&lt;25,0,הנחות!B7+(הנחות!B8-הנחות!B7)*MIN(MAX(33-30,0)/הנחות!B9,1))</f>
        <v>812.5</v>
      </c>
      <c r="AI70" s="34">
        <f>IF(34&lt;25,0,הנחות!B7+(הנחות!B8-הנחות!B7)*MIN(MAX(34-30,0)/הנחות!B9,1))</f>
        <v>916.66666666666663</v>
      </c>
      <c r="AJ70" s="34">
        <f>IF(35&lt;25,0,הנחות!B7+(הנחות!B8-הנחות!B7)*MIN(MAX(35-30,0)/הנחות!B9,1))</f>
        <v>1020.8333333333334</v>
      </c>
      <c r="AK70" s="34">
        <f>IF(36&lt;25,0,הנחות!B7+(הנחות!B8-הנחות!B7)*MIN(MAX(36-30,0)/הנחות!B9,1))</f>
        <v>1125</v>
      </c>
      <c r="AL70" s="34">
        <f>IF(37&lt;25,0,הנחות!B7+(הנחות!B8-הנחות!B7)*MIN(MAX(37-30,0)/הנחות!B9,1))</f>
        <v>1229.1666666666667</v>
      </c>
      <c r="AM70" s="34">
        <f>IF(38&lt;25,0,הנחות!B7+(הנחות!B8-הנחות!B7)*MIN(MAX(38-30,0)/הנחות!B9,1))</f>
        <v>1333.3333333333333</v>
      </c>
      <c r="AN70" s="34">
        <f>IF(39&lt;25,0,הנחות!B7+(הנחות!B8-הנחות!B7)*MIN(MAX(39-30,0)/הנחות!B9,1))</f>
        <v>1437.5</v>
      </c>
      <c r="AO70" s="34">
        <f>IF(40&lt;25,0,הנחות!B7+(הנחות!B8-הנחות!B7)*MIN(MAX(40-30,0)/הנחות!B9,1))</f>
        <v>1541.6666666666667</v>
      </c>
      <c r="AP70" s="34">
        <f>IF(41&lt;25,0,הנחות!B7+(הנחות!B8-הנחות!B7)*MIN(MAX(41-30,0)/הנחות!B9,1))</f>
        <v>1645.8333333333333</v>
      </c>
      <c r="AQ70" s="34">
        <f>IF(42&lt;25,0,הנחות!B7+(הנחות!B8-הנחות!B7)*MIN(MAX(42-30,0)/הנחות!B9,1))</f>
        <v>1750</v>
      </c>
      <c r="AR70" s="34">
        <f>IF(43&lt;25,0,הנחות!B7+(הנחות!B8-הנחות!B7)*MIN(MAX(43-30,0)/הנחות!B9,1))</f>
        <v>1854.1666666666665</v>
      </c>
      <c r="AS70" s="34">
        <f>IF(44&lt;25,0,הנחות!B7+(הנחות!B8-הנחות!B7)*MIN(MAX(44-30,0)/הנחות!B9,1))</f>
        <v>1958.3333333333335</v>
      </c>
      <c r="AT70" s="34">
        <f>IF(45&lt;25,0,הנחות!B7+(הנחות!B8-הנחות!B7)*MIN(MAX(45-30,0)/הנחות!B9,1))</f>
        <v>2062.5</v>
      </c>
      <c r="AU70" s="34">
        <f>IF(46&lt;25,0,הנחות!B7+(הנחות!B8-הנחות!B7)*MIN(MAX(46-30,0)/הנחות!B9,1))</f>
        <v>2166.6666666666665</v>
      </c>
      <c r="AV70" s="34">
        <f>IF(47&lt;25,0,הנחות!B7+(הנחות!B8-הנחות!B7)*MIN(MAX(47-30,0)/הנחות!B9,1))</f>
        <v>2270.8333333333335</v>
      </c>
      <c r="AW70" s="34">
        <f>IF(48&lt;25,0,הנחות!B7+(הנחות!B8-הנחות!B7)*MIN(MAX(48-30,0)/הנחות!B9,1))</f>
        <v>2375</v>
      </c>
      <c r="AX70" s="34">
        <f>IF(49&lt;25,0,הנחות!B7+(הנחות!B8-הנחות!B7)*MIN(MAX(49-30,0)/הנחות!B9,1))</f>
        <v>2479.1666666666665</v>
      </c>
      <c r="AY70" s="34">
        <f>IF(50&lt;25,0,הנחות!B7+(הנחות!B8-הנחות!B7)*MIN(MAX(50-30,0)/הנחות!B9,1))</f>
        <v>2583.3333333333335</v>
      </c>
      <c r="AZ70" s="34">
        <f>IF(51&lt;25,0,הנחות!B7+(הנחות!B8-הנחות!B7)*MIN(MAX(51-30,0)/הנחות!B9,1))</f>
        <v>2687.5</v>
      </c>
      <c r="BA70" s="34">
        <f>IF(52&lt;25,0,הנחות!B7+(הנחות!B8-הנחות!B7)*MIN(MAX(52-30,0)/הנחות!B9,1))</f>
        <v>2791.6666666666665</v>
      </c>
      <c r="BB70" s="34">
        <f>IF(53&lt;25,0,הנחות!B7+(הנחות!B8-הנחות!B7)*MIN(MAX(53-30,0)/הנחות!B9,1))</f>
        <v>2895.8333333333335</v>
      </c>
      <c r="BC70" s="34">
        <f>IF(54&lt;25,0,הנחות!B7+(הנחות!B8-הנחות!B7)*MIN(MAX(54-30,0)/הנחות!B9,1))</f>
        <v>3000</v>
      </c>
      <c r="BD70" s="34">
        <f>IF(55&lt;25,0,הנחות!B7+(הנחות!B8-הנחות!B7)*MIN(MAX(55-30,0)/הנחות!B9,1))</f>
        <v>3000</v>
      </c>
      <c r="BE70" s="34">
        <f>IF(56&lt;25,0,הנחות!B7+(הנחות!B8-הנחות!B7)*MIN(MAX(56-30,0)/הנחות!B9,1))</f>
        <v>3000</v>
      </c>
      <c r="BF70" s="34">
        <f>IF(57&lt;25,0,הנחות!B7+(הנחות!B8-הנחות!B7)*MIN(MAX(57-30,0)/הנחות!B9,1))</f>
        <v>3000</v>
      </c>
      <c r="BG70" s="34">
        <f>IF(58&lt;25,0,הנחות!B7+(הנחות!B8-הנחות!B7)*MIN(MAX(58-30,0)/הנחות!B9,1))</f>
        <v>3000</v>
      </c>
      <c r="BH70" s="34">
        <f>IF(59&lt;25,0,הנחות!B7+(הנחות!B8-הנחות!B7)*MIN(MAX(59-30,0)/הנחות!B9,1))</f>
        <v>3000</v>
      </c>
      <c r="BI70" s="34">
        <f>IF(60&lt;25,0,הנחות!B7+(הנחות!B8-הנחות!B7)*MIN(MAX(60-30,0)/הנחות!B9,1))</f>
        <v>3000</v>
      </c>
    </row>
    <row r="71" spans="1:61" x14ac:dyDescent="0.25">
      <c r="A71" s="31" t="s">
        <v>203</v>
      </c>
      <c r="B71" s="34">
        <f>IF(1&lt;37,0,הנחות!B7+(הנחות!B8-הנחות!B7)*MIN(MAX(1-42,0)/הנחות!B9,1))</f>
        <v>0</v>
      </c>
      <c r="C71" s="34">
        <f>IF(2&lt;37,0,הנחות!B7+(הנחות!B8-הנחות!B7)*MIN(MAX(2-42,0)/הנחות!B9,1))</f>
        <v>0</v>
      </c>
      <c r="D71" s="34">
        <f>IF(3&lt;37,0,הנחות!B7+(הנחות!B8-הנחות!B7)*MIN(MAX(3-42,0)/הנחות!B9,1))</f>
        <v>0</v>
      </c>
      <c r="E71" s="34">
        <f>IF(4&lt;37,0,הנחות!B7+(הנחות!B8-הנחות!B7)*MIN(MAX(4-42,0)/הנחות!B9,1))</f>
        <v>0</v>
      </c>
      <c r="F71" s="34">
        <f>IF(5&lt;37,0,הנחות!B7+(הנחות!B8-הנחות!B7)*MIN(MAX(5-42,0)/הנחות!B9,1))</f>
        <v>0</v>
      </c>
      <c r="G71" s="34">
        <f>IF(6&lt;37,0,הנחות!B7+(הנחות!B8-הנחות!B7)*MIN(MAX(6-42,0)/הנחות!B9,1))</f>
        <v>0</v>
      </c>
      <c r="H71" s="34">
        <f>IF(7&lt;37,0,הנחות!B7+(הנחות!B8-הנחות!B7)*MIN(MAX(7-42,0)/הנחות!B9,1))</f>
        <v>0</v>
      </c>
      <c r="I71" s="34">
        <f>IF(8&lt;37,0,הנחות!B7+(הנחות!B8-הנחות!B7)*MIN(MAX(8-42,0)/הנחות!B9,1))</f>
        <v>0</v>
      </c>
      <c r="J71" s="34">
        <f>IF(9&lt;37,0,הנחות!B7+(הנחות!B8-הנחות!B7)*MIN(MAX(9-42,0)/הנחות!B9,1))</f>
        <v>0</v>
      </c>
      <c r="K71" s="34">
        <f>IF(10&lt;37,0,הנחות!B7+(הנחות!B8-הנחות!B7)*MIN(MAX(10-42,0)/הנחות!B9,1))</f>
        <v>0</v>
      </c>
      <c r="L71" s="34">
        <f>IF(11&lt;37,0,הנחות!B7+(הנחות!B8-הנחות!B7)*MIN(MAX(11-42,0)/הנחות!B9,1))</f>
        <v>0</v>
      </c>
      <c r="M71" s="34">
        <f>IF(12&lt;37,0,הנחות!B7+(הנחות!B8-הנחות!B7)*MIN(MAX(12-42,0)/הנחות!B9,1))</f>
        <v>0</v>
      </c>
      <c r="N71" s="34">
        <f>IF(13&lt;37,0,הנחות!B7+(הנחות!B8-הנחות!B7)*MIN(MAX(13-42,0)/הנחות!B9,1))</f>
        <v>0</v>
      </c>
      <c r="O71" s="34">
        <f>IF(14&lt;37,0,הנחות!B7+(הנחות!B8-הנחות!B7)*MIN(MAX(14-42,0)/הנחות!B9,1))</f>
        <v>0</v>
      </c>
      <c r="P71" s="34">
        <f>IF(15&lt;37,0,הנחות!B7+(הנחות!B8-הנחות!B7)*MIN(MAX(15-42,0)/הנחות!B9,1))</f>
        <v>0</v>
      </c>
      <c r="Q71" s="34">
        <f>IF(16&lt;37,0,הנחות!B7+(הנחות!B8-הנחות!B7)*MIN(MAX(16-42,0)/הנחות!B9,1))</f>
        <v>0</v>
      </c>
      <c r="R71" s="34">
        <f>IF(17&lt;37,0,הנחות!B7+(הנחות!B8-הנחות!B7)*MIN(MAX(17-42,0)/הנחות!B9,1))</f>
        <v>0</v>
      </c>
      <c r="S71" s="34">
        <f>IF(18&lt;37,0,הנחות!B7+(הנחות!B8-הנחות!B7)*MIN(MAX(18-42,0)/הנחות!B9,1))</f>
        <v>0</v>
      </c>
      <c r="T71" s="34">
        <f>IF(19&lt;37,0,הנחות!B7+(הנחות!B8-הנחות!B7)*MIN(MAX(19-42,0)/הנחות!B9,1))</f>
        <v>0</v>
      </c>
      <c r="U71" s="34">
        <f>IF(20&lt;37,0,הנחות!B7+(הנחות!B8-הנחות!B7)*MIN(MAX(20-42,0)/הנחות!B9,1))</f>
        <v>0</v>
      </c>
      <c r="V71" s="34">
        <f>IF(21&lt;37,0,הנחות!B7+(הנחות!B8-הנחות!B7)*MIN(MAX(21-42,0)/הנחות!B9,1))</f>
        <v>0</v>
      </c>
      <c r="W71" s="34">
        <f>IF(22&lt;37,0,הנחות!B7+(הנחות!B8-הנחות!B7)*MIN(MAX(22-42,0)/הנחות!B9,1))</f>
        <v>0</v>
      </c>
      <c r="X71" s="34">
        <f>IF(23&lt;37,0,הנחות!B7+(הנחות!B8-הנחות!B7)*MIN(MAX(23-42,0)/הנחות!B9,1))</f>
        <v>0</v>
      </c>
      <c r="Y71" s="34">
        <f>IF(24&lt;37,0,הנחות!B7+(הנחות!B8-הנחות!B7)*MIN(MAX(24-42,0)/הנחות!B9,1))</f>
        <v>0</v>
      </c>
      <c r="Z71" s="34">
        <f>IF(25&lt;37,0,הנחות!B7+(הנחות!B8-הנחות!B7)*MIN(MAX(25-42,0)/הנחות!B9,1))</f>
        <v>0</v>
      </c>
      <c r="AA71" s="34">
        <f>IF(26&lt;37,0,הנחות!B7+(הנחות!B8-הנחות!B7)*MIN(MAX(26-42,0)/הנחות!B9,1))</f>
        <v>0</v>
      </c>
      <c r="AB71" s="34">
        <f>IF(27&lt;37,0,הנחות!B7+(הנחות!B8-הנחות!B7)*MIN(MAX(27-42,0)/הנחות!B9,1))</f>
        <v>0</v>
      </c>
      <c r="AC71" s="34">
        <f>IF(28&lt;37,0,הנחות!B7+(הנחות!B8-הנחות!B7)*MIN(MAX(28-42,0)/הנחות!B9,1))</f>
        <v>0</v>
      </c>
      <c r="AD71" s="34">
        <f>IF(29&lt;37,0,הנחות!B7+(הנחות!B8-הנחות!B7)*MIN(MAX(29-42,0)/הנחות!B9,1))</f>
        <v>0</v>
      </c>
      <c r="AE71" s="34">
        <f>IF(30&lt;37,0,הנחות!B7+(הנחות!B8-הנחות!B7)*MIN(MAX(30-42,0)/הנחות!B9,1))</f>
        <v>0</v>
      </c>
      <c r="AF71" s="34">
        <f>IF(31&lt;37,0,הנחות!B7+(הנחות!B8-הנחות!B7)*MIN(MAX(31-42,0)/הנחות!B9,1))</f>
        <v>0</v>
      </c>
      <c r="AG71" s="34">
        <f>IF(32&lt;37,0,הנחות!B7+(הנחות!B8-הנחות!B7)*MIN(MAX(32-42,0)/הנחות!B9,1))</f>
        <v>0</v>
      </c>
      <c r="AH71" s="34">
        <f>IF(33&lt;37,0,הנחות!B7+(הנחות!B8-הנחות!B7)*MIN(MAX(33-42,0)/הנחות!B9,1))</f>
        <v>0</v>
      </c>
      <c r="AI71" s="34">
        <f>IF(34&lt;37,0,הנחות!B7+(הנחות!B8-הנחות!B7)*MIN(MAX(34-42,0)/הנחות!B9,1))</f>
        <v>0</v>
      </c>
      <c r="AJ71" s="34">
        <f>IF(35&lt;37,0,הנחות!B7+(הנחות!B8-הנחות!B7)*MIN(MAX(35-42,0)/הנחות!B9,1))</f>
        <v>0</v>
      </c>
      <c r="AK71" s="34">
        <f>IF(36&lt;37,0,הנחות!B7+(הנחות!B8-הנחות!B7)*MIN(MAX(36-42,0)/הנחות!B9,1))</f>
        <v>0</v>
      </c>
      <c r="AL71" s="34">
        <f>IF(37&lt;37,0,הנחות!B7+(הנחות!B8-הנחות!B7)*MIN(MAX(37-42,0)/הנחות!B9,1))</f>
        <v>500</v>
      </c>
      <c r="AM71" s="34">
        <f>IF(38&lt;37,0,הנחות!B7+(הנחות!B8-הנחות!B7)*MIN(MAX(38-42,0)/הנחות!B9,1))</f>
        <v>500</v>
      </c>
      <c r="AN71" s="34">
        <f>IF(39&lt;37,0,הנחות!B7+(הנחות!B8-הנחות!B7)*MIN(MAX(39-42,0)/הנחות!B9,1))</f>
        <v>500</v>
      </c>
      <c r="AO71" s="34">
        <f>IF(40&lt;37,0,הנחות!B7+(הנחות!B8-הנחות!B7)*MIN(MAX(40-42,0)/הנחות!B9,1))</f>
        <v>500</v>
      </c>
      <c r="AP71" s="34">
        <f>IF(41&lt;37,0,הנחות!B7+(הנחות!B8-הנחות!B7)*MIN(MAX(41-42,0)/הנחות!B9,1))</f>
        <v>500</v>
      </c>
      <c r="AQ71" s="34">
        <f>IF(42&lt;37,0,הנחות!B7+(הנחות!B8-הנחות!B7)*MIN(MAX(42-42,0)/הנחות!B9,1))</f>
        <v>500</v>
      </c>
      <c r="AR71" s="34">
        <f>IF(43&lt;37,0,הנחות!B7+(הנחות!B8-הנחות!B7)*MIN(MAX(43-42,0)/הנחות!B9,1))</f>
        <v>604.16666666666663</v>
      </c>
      <c r="AS71" s="34">
        <f>IF(44&lt;37,0,הנחות!B7+(הנחות!B8-הנחות!B7)*MIN(MAX(44-42,0)/הנחות!B9,1))</f>
        <v>708.33333333333326</v>
      </c>
      <c r="AT71" s="34">
        <f>IF(45&lt;37,0,הנחות!B7+(הנחות!B8-הנחות!B7)*MIN(MAX(45-42,0)/הנחות!B9,1))</f>
        <v>812.5</v>
      </c>
      <c r="AU71" s="34">
        <f>IF(46&lt;37,0,הנחות!B7+(הנחות!B8-הנחות!B7)*MIN(MAX(46-42,0)/הנחות!B9,1))</f>
        <v>916.66666666666663</v>
      </c>
      <c r="AV71" s="34">
        <f>IF(47&lt;37,0,הנחות!B7+(הנחות!B8-הנחות!B7)*MIN(MAX(47-42,0)/הנחות!B9,1))</f>
        <v>1020.8333333333334</v>
      </c>
      <c r="AW71" s="34">
        <f>IF(48&lt;37,0,הנחות!B7+(הנחות!B8-הנחות!B7)*MIN(MAX(48-42,0)/הנחות!B9,1))</f>
        <v>1125</v>
      </c>
      <c r="AX71" s="34">
        <f>IF(49&lt;37,0,הנחות!B7+(הנחות!B8-הנחות!B7)*MIN(MAX(49-42,0)/הנחות!B9,1))</f>
        <v>1229.1666666666667</v>
      </c>
      <c r="AY71" s="34">
        <f>IF(50&lt;37,0,הנחות!B7+(הנחות!B8-הנחות!B7)*MIN(MAX(50-42,0)/הנחות!B9,1))</f>
        <v>1333.3333333333333</v>
      </c>
      <c r="AZ71" s="34">
        <f>IF(51&lt;37,0,הנחות!B7+(הנחות!B8-הנחות!B7)*MIN(MAX(51-42,0)/הנחות!B9,1))</f>
        <v>1437.5</v>
      </c>
      <c r="BA71" s="34">
        <f>IF(52&lt;37,0,הנחות!B7+(הנחות!B8-הנחות!B7)*MIN(MAX(52-42,0)/הנחות!B9,1))</f>
        <v>1541.6666666666667</v>
      </c>
      <c r="BB71" s="34">
        <f>IF(53&lt;37,0,הנחות!B7+(הנחות!B8-הנחות!B7)*MIN(MAX(53-42,0)/הנחות!B9,1))</f>
        <v>1645.8333333333333</v>
      </c>
      <c r="BC71" s="34">
        <f>IF(54&lt;37,0,הנחות!B7+(הנחות!B8-הנחות!B7)*MIN(MAX(54-42,0)/הנחות!B9,1))</f>
        <v>1750</v>
      </c>
      <c r="BD71" s="34">
        <f>IF(55&lt;37,0,הנחות!B7+(הנחות!B8-הנחות!B7)*MIN(MAX(55-42,0)/הנחות!B9,1))</f>
        <v>1854.1666666666665</v>
      </c>
      <c r="BE71" s="34">
        <f>IF(56&lt;37,0,הנחות!B7+(הנחות!B8-הנחות!B7)*MIN(MAX(56-42,0)/הנחות!B9,1))</f>
        <v>1958.3333333333335</v>
      </c>
      <c r="BF71" s="34">
        <f>IF(57&lt;37,0,הנחות!B7+(הנחות!B8-הנחות!B7)*MIN(MAX(57-42,0)/הנחות!B9,1))</f>
        <v>2062.5</v>
      </c>
      <c r="BG71" s="34">
        <f>IF(58&lt;37,0,הנחות!B7+(הנחות!B8-הנחות!B7)*MIN(MAX(58-42,0)/הנחות!B9,1))</f>
        <v>2166.6666666666665</v>
      </c>
      <c r="BH71" s="34">
        <f>IF(59&lt;37,0,הנחות!B7+(הנחות!B8-הנחות!B7)*MIN(MAX(59-42,0)/הנחות!B9,1))</f>
        <v>2270.8333333333335</v>
      </c>
      <c r="BI71" s="34">
        <f>IF(60&lt;37,0,הנחות!B7+(הנחות!B8-הנחות!B7)*MIN(MAX(60-42,0)/הנחות!B9,1))</f>
        <v>2375</v>
      </c>
    </row>
    <row r="72" spans="1:61" x14ac:dyDescent="0.25">
      <c r="A72" s="31" t="s">
        <v>204</v>
      </c>
      <c r="B72" s="34">
        <f>IF(1&lt;49,0,הנחות!B7+(הנחות!B8-הנחות!B7)*MIN(MAX(1-54,0)/הנחות!B9,1))</f>
        <v>0</v>
      </c>
      <c r="C72" s="34">
        <f>IF(2&lt;49,0,הנחות!B7+(הנחות!B8-הנחות!B7)*MIN(MAX(2-54,0)/הנחות!B9,1))</f>
        <v>0</v>
      </c>
      <c r="D72" s="34">
        <f>IF(3&lt;49,0,הנחות!B7+(הנחות!B8-הנחות!B7)*MIN(MAX(3-54,0)/הנחות!B9,1))</f>
        <v>0</v>
      </c>
      <c r="E72" s="34">
        <f>IF(4&lt;49,0,הנחות!B7+(הנחות!B8-הנחות!B7)*MIN(MAX(4-54,0)/הנחות!B9,1))</f>
        <v>0</v>
      </c>
      <c r="F72" s="34">
        <f>IF(5&lt;49,0,הנחות!B7+(הנחות!B8-הנחות!B7)*MIN(MAX(5-54,0)/הנחות!B9,1))</f>
        <v>0</v>
      </c>
      <c r="G72" s="34">
        <f>IF(6&lt;49,0,הנחות!B7+(הנחות!B8-הנחות!B7)*MIN(MAX(6-54,0)/הנחות!B9,1))</f>
        <v>0</v>
      </c>
      <c r="H72" s="34">
        <f>IF(7&lt;49,0,הנחות!B7+(הנחות!B8-הנחות!B7)*MIN(MAX(7-54,0)/הנחות!B9,1))</f>
        <v>0</v>
      </c>
      <c r="I72" s="34">
        <f>IF(8&lt;49,0,הנחות!B7+(הנחות!B8-הנחות!B7)*MIN(MAX(8-54,0)/הנחות!B9,1))</f>
        <v>0</v>
      </c>
      <c r="J72" s="34">
        <f>IF(9&lt;49,0,הנחות!B7+(הנחות!B8-הנחות!B7)*MIN(MAX(9-54,0)/הנחות!B9,1))</f>
        <v>0</v>
      </c>
      <c r="K72" s="34">
        <f>IF(10&lt;49,0,הנחות!B7+(הנחות!B8-הנחות!B7)*MIN(MAX(10-54,0)/הנחות!B9,1))</f>
        <v>0</v>
      </c>
      <c r="L72" s="34">
        <f>IF(11&lt;49,0,הנחות!B7+(הנחות!B8-הנחות!B7)*MIN(MAX(11-54,0)/הנחות!B9,1))</f>
        <v>0</v>
      </c>
      <c r="M72" s="34">
        <f>IF(12&lt;49,0,הנחות!B7+(הנחות!B8-הנחות!B7)*MIN(MAX(12-54,0)/הנחות!B9,1))</f>
        <v>0</v>
      </c>
      <c r="N72" s="34">
        <f>IF(13&lt;49,0,הנחות!B7+(הנחות!B8-הנחות!B7)*MIN(MAX(13-54,0)/הנחות!B9,1))</f>
        <v>0</v>
      </c>
      <c r="O72" s="34">
        <f>IF(14&lt;49,0,הנחות!B7+(הנחות!B8-הנחות!B7)*MIN(MAX(14-54,0)/הנחות!B9,1))</f>
        <v>0</v>
      </c>
      <c r="P72" s="34">
        <f>IF(15&lt;49,0,הנחות!B7+(הנחות!B8-הנחות!B7)*MIN(MAX(15-54,0)/הנחות!B9,1))</f>
        <v>0</v>
      </c>
      <c r="Q72" s="34">
        <f>IF(16&lt;49,0,הנחות!B7+(הנחות!B8-הנחות!B7)*MIN(MAX(16-54,0)/הנחות!B9,1))</f>
        <v>0</v>
      </c>
      <c r="R72" s="34">
        <f>IF(17&lt;49,0,הנחות!B7+(הנחות!B8-הנחות!B7)*MIN(MAX(17-54,0)/הנחות!B9,1))</f>
        <v>0</v>
      </c>
      <c r="S72" s="34">
        <f>IF(18&lt;49,0,הנחות!B7+(הנחות!B8-הנחות!B7)*MIN(MAX(18-54,0)/הנחות!B9,1))</f>
        <v>0</v>
      </c>
      <c r="T72" s="34">
        <f>IF(19&lt;49,0,הנחות!B7+(הנחות!B8-הנחות!B7)*MIN(MAX(19-54,0)/הנחות!B9,1))</f>
        <v>0</v>
      </c>
      <c r="U72" s="34">
        <f>IF(20&lt;49,0,הנחות!B7+(הנחות!B8-הנחות!B7)*MIN(MAX(20-54,0)/הנחות!B9,1))</f>
        <v>0</v>
      </c>
      <c r="V72" s="34">
        <f>IF(21&lt;49,0,הנחות!B7+(הנחות!B8-הנחות!B7)*MIN(MAX(21-54,0)/הנחות!B9,1))</f>
        <v>0</v>
      </c>
      <c r="W72" s="34">
        <f>IF(22&lt;49,0,הנחות!B7+(הנחות!B8-הנחות!B7)*MIN(MAX(22-54,0)/הנחות!B9,1))</f>
        <v>0</v>
      </c>
      <c r="X72" s="34">
        <f>IF(23&lt;49,0,הנחות!B7+(הנחות!B8-הנחות!B7)*MIN(MAX(23-54,0)/הנחות!B9,1))</f>
        <v>0</v>
      </c>
      <c r="Y72" s="34">
        <f>IF(24&lt;49,0,הנחות!B7+(הנחות!B8-הנחות!B7)*MIN(MAX(24-54,0)/הנחות!B9,1))</f>
        <v>0</v>
      </c>
      <c r="Z72" s="34">
        <f>IF(25&lt;49,0,הנחות!B7+(הנחות!B8-הנחות!B7)*MIN(MAX(25-54,0)/הנחות!B9,1))</f>
        <v>0</v>
      </c>
      <c r="AA72" s="34">
        <f>IF(26&lt;49,0,הנחות!B7+(הנחות!B8-הנחות!B7)*MIN(MAX(26-54,0)/הנחות!B9,1))</f>
        <v>0</v>
      </c>
      <c r="AB72" s="34">
        <f>IF(27&lt;49,0,הנחות!B7+(הנחות!B8-הנחות!B7)*MIN(MAX(27-54,0)/הנחות!B9,1))</f>
        <v>0</v>
      </c>
      <c r="AC72" s="34">
        <f>IF(28&lt;49,0,הנחות!B7+(הנחות!B8-הנחות!B7)*MIN(MAX(28-54,0)/הנחות!B9,1))</f>
        <v>0</v>
      </c>
      <c r="AD72" s="34">
        <f>IF(29&lt;49,0,הנחות!B7+(הנחות!B8-הנחות!B7)*MIN(MAX(29-54,0)/הנחות!B9,1))</f>
        <v>0</v>
      </c>
      <c r="AE72" s="34">
        <f>IF(30&lt;49,0,הנחות!B7+(הנחות!B8-הנחות!B7)*MIN(MAX(30-54,0)/הנחות!B9,1))</f>
        <v>0</v>
      </c>
      <c r="AF72" s="34">
        <f>IF(31&lt;49,0,הנחות!B7+(הנחות!B8-הנחות!B7)*MIN(MAX(31-54,0)/הנחות!B9,1))</f>
        <v>0</v>
      </c>
      <c r="AG72" s="34">
        <f>IF(32&lt;49,0,הנחות!B7+(הנחות!B8-הנחות!B7)*MIN(MAX(32-54,0)/הנחות!B9,1))</f>
        <v>0</v>
      </c>
      <c r="AH72" s="34">
        <f>IF(33&lt;49,0,הנחות!B7+(הנחות!B8-הנחות!B7)*MIN(MAX(33-54,0)/הנחות!B9,1))</f>
        <v>0</v>
      </c>
      <c r="AI72" s="34">
        <f>IF(34&lt;49,0,הנחות!B7+(הנחות!B8-הנחות!B7)*MIN(MAX(34-54,0)/הנחות!B9,1))</f>
        <v>0</v>
      </c>
      <c r="AJ72" s="34">
        <f>IF(35&lt;49,0,הנחות!B7+(הנחות!B8-הנחות!B7)*MIN(MAX(35-54,0)/הנחות!B9,1))</f>
        <v>0</v>
      </c>
      <c r="AK72" s="34">
        <f>IF(36&lt;49,0,הנחות!B7+(הנחות!B8-הנחות!B7)*MIN(MAX(36-54,0)/הנחות!B9,1))</f>
        <v>0</v>
      </c>
      <c r="AL72" s="34">
        <f>IF(37&lt;49,0,הנחות!B7+(הנחות!B8-הנחות!B7)*MIN(MAX(37-54,0)/הנחות!B9,1))</f>
        <v>0</v>
      </c>
      <c r="AM72" s="34">
        <f>IF(38&lt;49,0,הנחות!B7+(הנחות!B8-הנחות!B7)*MIN(MAX(38-54,0)/הנחות!B9,1))</f>
        <v>0</v>
      </c>
      <c r="AN72" s="34">
        <f>IF(39&lt;49,0,הנחות!B7+(הנחות!B8-הנחות!B7)*MIN(MAX(39-54,0)/הנחות!B9,1))</f>
        <v>0</v>
      </c>
      <c r="AO72" s="34">
        <f>IF(40&lt;49,0,הנחות!B7+(הנחות!B8-הנחות!B7)*MIN(MAX(40-54,0)/הנחות!B9,1))</f>
        <v>0</v>
      </c>
      <c r="AP72" s="34">
        <f>IF(41&lt;49,0,הנחות!B7+(הנחות!B8-הנחות!B7)*MIN(MAX(41-54,0)/הנחות!B9,1))</f>
        <v>0</v>
      </c>
      <c r="AQ72" s="34">
        <f>IF(42&lt;49,0,הנחות!B7+(הנחות!B8-הנחות!B7)*MIN(MAX(42-54,0)/הנחות!B9,1))</f>
        <v>0</v>
      </c>
      <c r="AR72" s="34">
        <f>IF(43&lt;49,0,הנחות!B7+(הנחות!B8-הנחות!B7)*MIN(MAX(43-54,0)/הנחות!B9,1))</f>
        <v>0</v>
      </c>
      <c r="AS72" s="34">
        <f>IF(44&lt;49,0,הנחות!B7+(הנחות!B8-הנחות!B7)*MIN(MAX(44-54,0)/הנחות!B9,1))</f>
        <v>0</v>
      </c>
      <c r="AT72" s="34">
        <f>IF(45&lt;49,0,הנחות!B7+(הנחות!B8-הנחות!B7)*MIN(MAX(45-54,0)/הנחות!B9,1))</f>
        <v>0</v>
      </c>
      <c r="AU72" s="34">
        <f>IF(46&lt;49,0,הנחות!B7+(הנחות!B8-הנחות!B7)*MIN(MAX(46-54,0)/הנחות!B9,1))</f>
        <v>0</v>
      </c>
      <c r="AV72" s="34">
        <f>IF(47&lt;49,0,הנחות!B7+(הנחות!B8-הנחות!B7)*MIN(MAX(47-54,0)/הנחות!B9,1))</f>
        <v>0</v>
      </c>
      <c r="AW72" s="34">
        <f>IF(48&lt;49,0,הנחות!B7+(הנחות!B8-הנחות!B7)*MIN(MAX(48-54,0)/הנחות!B9,1))</f>
        <v>0</v>
      </c>
      <c r="AX72" s="34">
        <f>IF(49&lt;49,0,הנחות!B7+(הנחות!B8-הנחות!B7)*MIN(MAX(49-54,0)/הנחות!B9,1))</f>
        <v>500</v>
      </c>
      <c r="AY72" s="34">
        <f>IF(50&lt;49,0,הנחות!B7+(הנחות!B8-הנחות!B7)*MIN(MAX(50-54,0)/הנחות!B9,1))</f>
        <v>500</v>
      </c>
      <c r="AZ72" s="34">
        <f>IF(51&lt;49,0,הנחות!B7+(הנחות!B8-הנחות!B7)*MIN(MAX(51-54,0)/הנחות!B9,1))</f>
        <v>500</v>
      </c>
      <c r="BA72" s="34">
        <f>IF(52&lt;49,0,הנחות!B7+(הנחות!B8-הנחות!B7)*MIN(MAX(52-54,0)/הנחות!B9,1))</f>
        <v>500</v>
      </c>
      <c r="BB72" s="34">
        <f>IF(53&lt;49,0,הנחות!B7+(הנחות!B8-הנחות!B7)*MIN(MAX(53-54,0)/הנחות!B9,1))</f>
        <v>500</v>
      </c>
      <c r="BC72" s="34">
        <f>IF(54&lt;49,0,הנחות!B7+(הנחות!B8-הנחות!B7)*MIN(MAX(54-54,0)/הנחות!B9,1))</f>
        <v>500</v>
      </c>
      <c r="BD72" s="34">
        <f>IF(55&lt;49,0,הנחות!B7+(הנחות!B8-הנחות!B7)*MIN(MAX(55-54,0)/הנחות!B9,1))</f>
        <v>604.16666666666663</v>
      </c>
      <c r="BE72" s="34">
        <f>IF(56&lt;49,0,הנחות!B7+(הנחות!B8-הנחות!B7)*MIN(MAX(56-54,0)/הנחות!B9,1))</f>
        <v>708.33333333333326</v>
      </c>
      <c r="BF72" s="34">
        <f>IF(57&lt;49,0,הנחות!B7+(הנחות!B8-הנחות!B7)*MIN(MAX(57-54,0)/הנחות!B9,1))</f>
        <v>812.5</v>
      </c>
      <c r="BG72" s="34">
        <f>IF(58&lt;49,0,הנחות!B7+(הנחות!B8-הנחות!B7)*MIN(MAX(58-54,0)/הנחות!B9,1))</f>
        <v>916.66666666666663</v>
      </c>
      <c r="BH72" s="34">
        <f>IF(59&lt;49,0,הנחות!B7+(הנחות!B8-הנחות!B7)*MIN(MAX(59-54,0)/הנחות!B9,1))</f>
        <v>1020.8333333333334</v>
      </c>
      <c r="BI72" s="34">
        <f>IF(60&lt;49,0,הנחות!B7+(הנחות!B8-הנחות!B7)*MIN(MAX(60-54,0)/הנחות!B9,1))</f>
        <v>1125</v>
      </c>
    </row>
    <row r="73" spans="1:61" x14ac:dyDescent="0.25">
      <c r="A73" s="31" t="s">
        <v>205</v>
      </c>
      <c r="B73" s="34">
        <f>IF(1&lt;6,0,הנחות!C7+(הנחות!C8-הנחות!C7)*MIN(MAX(1-9,0)/הנחות!C9,1))</f>
        <v>0</v>
      </c>
      <c r="C73" s="34">
        <f>IF(2&lt;6,0,הנחות!C7+(הנחות!C8-הנחות!C7)*MIN(MAX(2-9,0)/הנחות!C9,1))</f>
        <v>0</v>
      </c>
      <c r="D73" s="34">
        <f>IF(3&lt;6,0,הנחות!C7+(הנחות!C8-הנחות!C7)*MIN(MAX(3-9,0)/הנחות!C9,1))</f>
        <v>0</v>
      </c>
      <c r="E73" s="34">
        <f>IF(4&lt;6,0,הנחות!C7+(הנחות!C8-הנחות!C7)*MIN(MAX(4-9,0)/הנחות!C9,1))</f>
        <v>0</v>
      </c>
      <c r="F73" s="34">
        <f>IF(5&lt;6,0,הנחות!C7+(הנחות!C8-הנחות!C7)*MIN(MAX(5-9,0)/הנחות!C9,1))</f>
        <v>0</v>
      </c>
      <c r="G73" s="34">
        <f>IF(6&lt;6,0,הנחות!C7+(הנחות!C8-הנחות!C7)*MIN(MAX(6-9,0)/הנחות!C9,1))</f>
        <v>4000</v>
      </c>
      <c r="H73" s="34">
        <f>IF(7&lt;6,0,הנחות!C7+(הנחות!C8-הנחות!C7)*MIN(MAX(7-9,0)/הנחות!C9,1))</f>
        <v>4000</v>
      </c>
      <c r="I73" s="34">
        <f>IF(8&lt;6,0,הנחות!C7+(הנחות!C8-הנחות!C7)*MIN(MAX(8-9,0)/הנחות!C9,1))</f>
        <v>4000</v>
      </c>
      <c r="J73" s="34">
        <f>IF(9&lt;6,0,הנחות!C7+(הנחות!C8-הנחות!C7)*MIN(MAX(9-9,0)/הנחות!C9,1))</f>
        <v>4000</v>
      </c>
      <c r="K73" s="34">
        <f>IF(10&lt;6,0,הנחות!C7+(הנחות!C8-הנחות!C7)*MIN(MAX(10-9,0)/הנחות!C9,1))</f>
        <v>4466.666666666667</v>
      </c>
      <c r="L73" s="34">
        <f>IF(11&lt;6,0,הנחות!C7+(הנחות!C8-הנחות!C7)*MIN(MAX(11-9,0)/הנחות!C9,1))</f>
        <v>4933.333333333333</v>
      </c>
      <c r="M73" s="34">
        <f>IF(12&lt;6,0,הנחות!C7+(הנחות!C8-הנחות!C7)*MIN(MAX(12-9,0)/הנחות!C9,1))</f>
        <v>5400</v>
      </c>
      <c r="N73" s="34">
        <f>IF(13&lt;6,0,הנחות!C7+(הנחות!C8-הנחות!C7)*MIN(MAX(13-9,0)/הנחות!C9,1))</f>
        <v>5866.666666666667</v>
      </c>
      <c r="O73" s="34">
        <f>IF(14&lt;6,0,הנחות!C7+(הנחות!C8-הנחות!C7)*MIN(MAX(14-9,0)/הנחות!C9,1))</f>
        <v>6333.333333333333</v>
      </c>
      <c r="P73" s="34">
        <f>IF(15&lt;6,0,הנחות!C7+(הנחות!C8-הנחות!C7)*MIN(MAX(15-9,0)/הנחות!C9,1))</f>
        <v>6800</v>
      </c>
      <c r="Q73" s="34">
        <f>IF(16&lt;6,0,הנחות!C7+(הנחות!C8-הנחות!C7)*MIN(MAX(16-9,0)/הנחות!C9,1))</f>
        <v>7266.6666666666661</v>
      </c>
      <c r="R73" s="34">
        <f>IF(17&lt;6,0,הנחות!C7+(הנחות!C8-הנחות!C7)*MIN(MAX(17-9,0)/הנחות!C9,1))</f>
        <v>7733.3333333333339</v>
      </c>
      <c r="S73" s="34">
        <f>IF(18&lt;6,0,הנחות!C7+(הנחות!C8-הנחות!C7)*MIN(MAX(18-9,0)/הנחות!C9,1))</f>
        <v>8200</v>
      </c>
      <c r="T73" s="34">
        <f>IF(19&lt;6,0,הנחות!C7+(הנחות!C8-הנחות!C7)*MIN(MAX(19-9,0)/הנחות!C9,1))</f>
        <v>8666.6666666666661</v>
      </c>
      <c r="U73" s="34">
        <f>IF(20&lt;6,0,הנחות!C7+(הנחות!C8-הנחות!C7)*MIN(MAX(20-9,0)/הנחות!C9,1))</f>
        <v>9133.3333333333321</v>
      </c>
      <c r="V73" s="34">
        <f>IF(21&lt;6,0,הנחות!C7+(הנחות!C8-הנחות!C7)*MIN(MAX(21-9,0)/הנחות!C9,1))</f>
        <v>9600</v>
      </c>
      <c r="W73" s="34">
        <f>IF(22&lt;6,0,הנחות!C7+(הנחות!C8-הנחות!C7)*MIN(MAX(22-9,0)/הנחות!C9,1))</f>
        <v>10066.666666666668</v>
      </c>
      <c r="X73" s="34">
        <f>IF(23&lt;6,0,הנחות!C7+(הנחות!C8-הנחות!C7)*MIN(MAX(23-9,0)/הנחות!C9,1))</f>
        <v>10533.333333333332</v>
      </c>
      <c r="Y73" s="34">
        <f>IF(24&lt;6,0,הנחות!C7+(הנחות!C8-הנחות!C7)*MIN(MAX(24-9,0)/הנחות!C9,1))</f>
        <v>11000</v>
      </c>
      <c r="Z73" s="34">
        <f>IF(25&lt;6,0,הנחות!C7+(הנחות!C8-הנחות!C7)*MIN(MAX(25-9,0)/הנחות!C9,1))</f>
        <v>11466.666666666668</v>
      </c>
      <c r="AA73" s="34">
        <f>IF(26&lt;6,0,הנחות!C7+(הנחות!C8-הנחות!C7)*MIN(MAX(26-9,0)/הנחות!C9,1))</f>
        <v>11933.333333333332</v>
      </c>
      <c r="AB73" s="34">
        <f>IF(27&lt;6,0,הנחות!C7+(הנחות!C8-הנחות!C7)*MIN(MAX(27-9,0)/הנחות!C9,1))</f>
        <v>12400</v>
      </c>
      <c r="AC73" s="34">
        <f>IF(28&lt;6,0,הנחות!C7+(הנחות!C8-הנחות!C7)*MIN(MAX(28-9,0)/הנחות!C9,1))</f>
        <v>12866.666666666666</v>
      </c>
      <c r="AD73" s="34">
        <f>IF(29&lt;6,0,הנחות!C7+(הנחות!C8-הנחות!C7)*MIN(MAX(29-9,0)/הנחות!C9,1))</f>
        <v>13333.333333333332</v>
      </c>
      <c r="AE73" s="34">
        <f>IF(30&lt;6,0,הנחות!C7+(הנחות!C8-הנחות!C7)*MIN(MAX(30-9,0)/הנחות!C9,1))</f>
        <v>13800</v>
      </c>
      <c r="AF73" s="34">
        <f>IF(31&lt;6,0,הנחות!C7+(הנחות!C8-הנחות!C7)*MIN(MAX(31-9,0)/הנחות!C9,1))</f>
        <v>14266.666666666666</v>
      </c>
      <c r="AG73" s="34">
        <f>IF(32&lt;6,0,הנחות!C7+(הנחות!C8-הנחות!C7)*MIN(MAX(32-9,0)/הנחות!C9,1))</f>
        <v>14733.333333333334</v>
      </c>
      <c r="AH73" s="34">
        <f>IF(33&lt;6,0,הנחות!C7+(הנחות!C8-הנחות!C7)*MIN(MAX(33-9,0)/הנחות!C9,1))</f>
        <v>15200</v>
      </c>
      <c r="AI73" s="34">
        <f>IF(34&lt;6,0,הנחות!C7+(הנחות!C8-הנחות!C7)*MIN(MAX(34-9,0)/הנחות!C9,1))</f>
        <v>15666.666666666668</v>
      </c>
      <c r="AJ73" s="34">
        <f>IF(35&lt;6,0,הנחות!C7+(הנחות!C8-הנחות!C7)*MIN(MAX(35-9,0)/הנחות!C9,1))</f>
        <v>16133.333333333334</v>
      </c>
      <c r="AK73" s="34">
        <f>IF(36&lt;6,0,הנחות!C7+(הנחות!C8-הנחות!C7)*MIN(MAX(36-9,0)/הנחות!C9,1))</f>
        <v>16600</v>
      </c>
      <c r="AL73" s="34">
        <f>IF(37&lt;6,0,הנחות!C7+(הנחות!C8-הנחות!C7)*MIN(MAX(37-9,0)/הנחות!C9,1))</f>
        <v>17066.666666666664</v>
      </c>
      <c r="AM73" s="34">
        <f>IF(38&lt;6,0,הנחות!C7+(הנחות!C8-הנחות!C7)*MIN(MAX(38-9,0)/הנחות!C9,1))</f>
        <v>17533.333333333336</v>
      </c>
      <c r="AN73" s="34">
        <f>IF(39&lt;6,0,הנחות!C7+(הנחות!C8-הנחות!C7)*MIN(MAX(39-9,0)/הנחות!C9,1))</f>
        <v>18000</v>
      </c>
      <c r="AO73" s="34">
        <f>IF(40&lt;6,0,הנחות!C7+(הנחות!C8-הנחות!C7)*MIN(MAX(40-9,0)/הנחות!C9,1))</f>
        <v>18000</v>
      </c>
      <c r="AP73" s="34">
        <f>IF(41&lt;6,0,הנחות!C7+(הנחות!C8-הנחות!C7)*MIN(MAX(41-9,0)/הנחות!C9,1))</f>
        <v>18000</v>
      </c>
      <c r="AQ73" s="34">
        <f>IF(42&lt;6,0,הנחות!C7+(הנחות!C8-הנחות!C7)*MIN(MAX(42-9,0)/הנחות!C9,1))</f>
        <v>18000</v>
      </c>
      <c r="AR73" s="34">
        <f>IF(43&lt;6,0,הנחות!C7+(הנחות!C8-הנחות!C7)*MIN(MAX(43-9,0)/הנחות!C9,1))</f>
        <v>18000</v>
      </c>
      <c r="AS73" s="34">
        <f>IF(44&lt;6,0,הנחות!C7+(הנחות!C8-הנחות!C7)*MIN(MAX(44-9,0)/הנחות!C9,1))</f>
        <v>18000</v>
      </c>
      <c r="AT73" s="34">
        <f>IF(45&lt;6,0,הנחות!C7+(הנחות!C8-הנחות!C7)*MIN(MAX(45-9,0)/הנחות!C9,1))</f>
        <v>18000</v>
      </c>
      <c r="AU73" s="34">
        <f>IF(46&lt;6,0,הנחות!C7+(הנחות!C8-הנחות!C7)*MIN(MAX(46-9,0)/הנחות!C9,1))</f>
        <v>18000</v>
      </c>
      <c r="AV73" s="34">
        <f>IF(47&lt;6,0,הנחות!C7+(הנחות!C8-הנחות!C7)*MIN(MAX(47-9,0)/הנחות!C9,1))</f>
        <v>18000</v>
      </c>
      <c r="AW73" s="34">
        <f>IF(48&lt;6,0,הנחות!C7+(הנחות!C8-הנחות!C7)*MIN(MAX(48-9,0)/הנחות!C9,1))</f>
        <v>18000</v>
      </c>
      <c r="AX73" s="34">
        <f>IF(49&lt;6,0,הנחות!C7+(הנחות!C8-הנחות!C7)*MIN(MAX(49-9,0)/הנחות!C9,1))</f>
        <v>18000</v>
      </c>
      <c r="AY73" s="34">
        <f>IF(50&lt;6,0,הנחות!C7+(הנחות!C8-הנחות!C7)*MIN(MAX(50-9,0)/הנחות!C9,1))</f>
        <v>18000</v>
      </c>
      <c r="AZ73" s="34">
        <f>IF(51&lt;6,0,הנחות!C7+(הנחות!C8-הנחות!C7)*MIN(MAX(51-9,0)/הנחות!C9,1))</f>
        <v>18000</v>
      </c>
      <c r="BA73" s="34">
        <f>IF(52&lt;6,0,הנחות!C7+(הנחות!C8-הנחות!C7)*MIN(MAX(52-9,0)/הנחות!C9,1))</f>
        <v>18000</v>
      </c>
      <c r="BB73" s="34">
        <f>IF(53&lt;6,0,הנחות!C7+(הנחות!C8-הנחות!C7)*MIN(MAX(53-9,0)/הנחות!C9,1))</f>
        <v>18000</v>
      </c>
      <c r="BC73" s="34">
        <f>IF(54&lt;6,0,הנחות!C7+(הנחות!C8-הנחות!C7)*MIN(MAX(54-9,0)/הנחות!C9,1))</f>
        <v>18000</v>
      </c>
      <c r="BD73" s="34">
        <f>IF(55&lt;6,0,הנחות!C7+(הנחות!C8-הנחות!C7)*MIN(MAX(55-9,0)/הנחות!C9,1))</f>
        <v>18000</v>
      </c>
      <c r="BE73" s="34">
        <f>IF(56&lt;6,0,הנחות!C7+(הנחות!C8-הנחות!C7)*MIN(MAX(56-9,0)/הנחות!C9,1))</f>
        <v>18000</v>
      </c>
      <c r="BF73" s="34">
        <f>IF(57&lt;6,0,הנחות!C7+(הנחות!C8-הנחות!C7)*MIN(MAX(57-9,0)/הנחות!C9,1))</f>
        <v>18000</v>
      </c>
      <c r="BG73" s="34">
        <f>IF(58&lt;6,0,הנחות!C7+(הנחות!C8-הנחות!C7)*MIN(MAX(58-9,0)/הנחות!C9,1))</f>
        <v>18000</v>
      </c>
      <c r="BH73" s="34">
        <f>IF(59&lt;6,0,הנחות!C7+(הנחות!C8-הנחות!C7)*MIN(MAX(59-9,0)/הנחות!C9,1))</f>
        <v>18000</v>
      </c>
      <c r="BI73" s="34">
        <f>IF(60&lt;6,0,הנחות!C7+(הנחות!C8-הנחות!C7)*MIN(MAX(60-9,0)/הנחות!C9,1))</f>
        <v>18000</v>
      </c>
    </row>
    <row r="74" spans="1:61" x14ac:dyDescent="0.25">
      <c r="A74" s="31" t="s">
        <v>206</v>
      </c>
      <c r="B74" s="34">
        <f>IF(1&lt;13,0,הנחות!C7+(הנחות!C8-הנחות!C7)*MIN(MAX(1-18,0)/הנחות!C9,1))</f>
        <v>0</v>
      </c>
      <c r="C74" s="34">
        <f>IF(2&lt;13,0,הנחות!C7+(הנחות!C8-הנחות!C7)*MIN(MAX(2-18,0)/הנחות!C9,1))</f>
        <v>0</v>
      </c>
      <c r="D74" s="34">
        <f>IF(3&lt;13,0,הנחות!C7+(הנחות!C8-הנחות!C7)*MIN(MAX(3-18,0)/הנחות!C9,1))</f>
        <v>0</v>
      </c>
      <c r="E74" s="34">
        <f>IF(4&lt;13,0,הנחות!C7+(הנחות!C8-הנחות!C7)*MIN(MAX(4-18,0)/הנחות!C9,1))</f>
        <v>0</v>
      </c>
      <c r="F74" s="34">
        <f>IF(5&lt;13,0,הנחות!C7+(הנחות!C8-הנחות!C7)*MIN(MAX(5-18,0)/הנחות!C9,1))</f>
        <v>0</v>
      </c>
      <c r="G74" s="34">
        <f>IF(6&lt;13,0,הנחות!C7+(הנחות!C8-הנחות!C7)*MIN(MAX(6-18,0)/הנחות!C9,1))</f>
        <v>0</v>
      </c>
      <c r="H74" s="34">
        <f>IF(7&lt;13,0,הנחות!C7+(הנחות!C8-הנחות!C7)*MIN(MAX(7-18,0)/הנחות!C9,1))</f>
        <v>0</v>
      </c>
      <c r="I74" s="34">
        <f>IF(8&lt;13,0,הנחות!C7+(הנחות!C8-הנחות!C7)*MIN(MAX(8-18,0)/הנחות!C9,1))</f>
        <v>0</v>
      </c>
      <c r="J74" s="34">
        <f>IF(9&lt;13,0,הנחות!C7+(הנחות!C8-הנחות!C7)*MIN(MAX(9-18,0)/הנחות!C9,1))</f>
        <v>0</v>
      </c>
      <c r="K74" s="34">
        <f>IF(10&lt;13,0,הנחות!C7+(הנחות!C8-הנחות!C7)*MIN(MAX(10-18,0)/הנחות!C9,1))</f>
        <v>0</v>
      </c>
      <c r="L74" s="34">
        <f>IF(11&lt;13,0,הנחות!C7+(הנחות!C8-הנחות!C7)*MIN(MAX(11-18,0)/הנחות!C9,1))</f>
        <v>0</v>
      </c>
      <c r="M74" s="34">
        <f>IF(12&lt;13,0,הנחות!C7+(הנחות!C8-הנחות!C7)*MIN(MAX(12-18,0)/הנחות!C9,1))</f>
        <v>0</v>
      </c>
      <c r="N74" s="34">
        <f>IF(13&lt;13,0,הנחות!C7+(הנחות!C8-הנחות!C7)*MIN(MAX(13-18,0)/הנחות!C9,1))</f>
        <v>4000</v>
      </c>
      <c r="O74" s="34">
        <f>IF(14&lt;13,0,הנחות!C7+(הנחות!C8-הנחות!C7)*MIN(MAX(14-18,0)/הנחות!C9,1))</f>
        <v>4000</v>
      </c>
      <c r="P74" s="34">
        <f>IF(15&lt;13,0,הנחות!C7+(הנחות!C8-הנחות!C7)*MIN(MAX(15-18,0)/הנחות!C9,1))</f>
        <v>4000</v>
      </c>
      <c r="Q74" s="34">
        <f>IF(16&lt;13,0,הנחות!C7+(הנחות!C8-הנחות!C7)*MIN(MAX(16-18,0)/הנחות!C9,1))</f>
        <v>4000</v>
      </c>
      <c r="R74" s="34">
        <f>IF(17&lt;13,0,הנחות!C7+(הנחות!C8-הנחות!C7)*MIN(MAX(17-18,0)/הנחות!C9,1))</f>
        <v>4000</v>
      </c>
      <c r="S74" s="34">
        <f>IF(18&lt;13,0,הנחות!C7+(הנחות!C8-הנחות!C7)*MIN(MAX(18-18,0)/הנחות!C9,1))</f>
        <v>4000</v>
      </c>
      <c r="T74" s="34">
        <f>IF(19&lt;13,0,הנחות!C7+(הנחות!C8-הנחות!C7)*MIN(MAX(19-18,0)/הנחות!C9,1))</f>
        <v>4466.666666666667</v>
      </c>
      <c r="U74" s="34">
        <f>IF(20&lt;13,0,הנחות!C7+(הנחות!C8-הנחות!C7)*MIN(MAX(20-18,0)/הנחות!C9,1))</f>
        <v>4933.333333333333</v>
      </c>
      <c r="V74" s="34">
        <f>IF(21&lt;13,0,הנחות!C7+(הנחות!C8-הנחות!C7)*MIN(MAX(21-18,0)/הנחות!C9,1))</f>
        <v>5400</v>
      </c>
      <c r="W74" s="34">
        <f>IF(22&lt;13,0,הנחות!C7+(הנחות!C8-הנחות!C7)*MIN(MAX(22-18,0)/הנחות!C9,1))</f>
        <v>5866.666666666667</v>
      </c>
      <c r="X74" s="34">
        <f>IF(23&lt;13,0,הנחות!C7+(הנחות!C8-הנחות!C7)*MIN(MAX(23-18,0)/הנחות!C9,1))</f>
        <v>6333.333333333333</v>
      </c>
      <c r="Y74" s="34">
        <f>IF(24&lt;13,0,הנחות!C7+(הנחות!C8-הנחות!C7)*MIN(MAX(24-18,0)/הנחות!C9,1))</f>
        <v>6800</v>
      </c>
      <c r="Z74" s="34">
        <f>IF(25&lt;13,0,הנחות!C7+(הנחות!C8-הנחות!C7)*MIN(MAX(25-18,0)/הנחות!C9,1))</f>
        <v>7266.6666666666661</v>
      </c>
      <c r="AA74" s="34">
        <f>IF(26&lt;13,0,הנחות!C7+(הנחות!C8-הנחות!C7)*MIN(MAX(26-18,0)/הנחות!C9,1))</f>
        <v>7733.3333333333339</v>
      </c>
      <c r="AB74" s="34">
        <f>IF(27&lt;13,0,הנחות!C7+(הנחות!C8-הנחות!C7)*MIN(MAX(27-18,0)/הנחות!C9,1))</f>
        <v>8200</v>
      </c>
      <c r="AC74" s="34">
        <f>IF(28&lt;13,0,הנחות!C7+(הנחות!C8-הנחות!C7)*MIN(MAX(28-18,0)/הנחות!C9,1))</f>
        <v>8666.6666666666661</v>
      </c>
      <c r="AD74" s="34">
        <f>IF(29&lt;13,0,הנחות!C7+(הנחות!C8-הנחות!C7)*MIN(MAX(29-18,0)/הנחות!C9,1))</f>
        <v>9133.3333333333321</v>
      </c>
      <c r="AE74" s="34">
        <f>IF(30&lt;13,0,הנחות!C7+(הנחות!C8-הנחות!C7)*MIN(MAX(30-18,0)/הנחות!C9,1))</f>
        <v>9600</v>
      </c>
      <c r="AF74" s="34">
        <f>IF(31&lt;13,0,הנחות!C7+(הנחות!C8-הנחות!C7)*MIN(MAX(31-18,0)/הנחות!C9,1))</f>
        <v>10066.666666666668</v>
      </c>
      <c r="AG74" s="34">
        <f>IF(32&lt;13,0,הנחות!C7+(הנחות!C8-הנחות!C7)*MIN(MAX(32-18,0)/הנחות!C9,1))</f>
        <v>10533.333333333332</v>
      </c>
      <c r="AH74" s="34">
        <f>IF(33&lt;13,0,הנחות!C7+(הנחות!C8-הנחות!C7)*MIN(MAX(33-18,0)/הנחות!C9,1))</f>
        <v>11000</v>
      </c>
      <c r="AI74" s="34">
        <f>IF(34&lt;13,0,הנחות!C7+(הנחות!C8-הנחות!C7)*MIN(MAX(34-18,0)/הנחות!C9,1))</f>
        <v>11466.666666666668</v>
      </c>
      <c r="AJ74" s="34">
        <f>IF(35&lt;13,0,הנחות!C7+(הנחות!C8-הנחות!C7)*MIN(MAX(35-18,0)/הנחות!C9,1))</f>
        <v>11933.333333333332</v>
      </c>
      <c r="AK74" s="34">
        <f>IF(36&lt;13,0,הנחות!C7+(הנחות!C8-הנחות!C7)*MIN(MAX(36-18,0)/הנחות!C9,1))</f>
        <v>12400</v>
      </c>
      <c r="AL74" s="34">
        <f>IF(37&lt;13,0,הנחות!C7+(הנחות!C8-הנחות!C7)*MIN(MAX(37-18,0)/הנחות!C9,1))</f>
        <v>12866.666666666666</v>
      </c>
      <c r="AM74" s="34">
        <f>IF(38&lt;13,0,הנחות!C7+(הנחות!C8-הנחות!C7)*MIN(MAX(38-18,0)/הנחות!C9,1))</f>
        <v>13333.333333333332</v>
      </c>
      <c r="AN74" s="34">
        <f>IF(39&lt;13,0,הנחות!C7+(הנחות!C8-הנחות!C7)*MIN(MAX(39-18,0)/הנחות!C9,1))</f>
        <v>13800</v>
      </c>
      <c r="AO74" s="34">
        <f>IF(40&lt;13,0,הנחות!C7+(הנחות!C8-הנחות!C7)*MIN(MAX(40-18,0)/הנחות!C9,1))</f>
        <v>14266.666666666666</v>
      </c>
      <c r="AP74" s="34">
        <f>IF(41&lt;13,0,הנחות!C7+(הנחות!C8-הנחות!C7)*MIN(MAX(41-18,0)/הנחות!C9,1))</f>
        <v>14733.333333333334</v>
      </c>
      <c r="AQ74" s="34">
        <f>IF(42&lt;13,0,הנחות!C7+(הנחות!C8-הנחות!C7)*MIN(MAX(42-18,0)/הנחות!C9,1))</f>
        <v>15200</v>
      </c>
      <c r="AR74" s="34">
        <f>IF(43&lt;13,0,הנחות!C7+(הנחות!C8-הנחות!C7)*MIN(MAX(43-18,0)/הנחות!C9,1))</f>
        <v>15666.666666666668</v>
      </c>
      <c r="AS74" s="34">
        <f>IF(44&lt;13,0,הנחות!C7+(הנחות!C8-הנחות!C7)*MIN(MAX(44-18,0)/הנחות!C9,1))</f>
        <v>16133.333333333334</v>
      </c>
      <c r="AT74" s="34">
        <f>IF(45&lt;13,0,הנחות!C7+(הנחות!C8-הנחות!C7)*MIN(MAX(45-18,0)/הנחות!C9,1))</f>
        <v>16600</v>
      </c>
      <c r="AU74" s="34">
        <f>IF(46&lt;13,0,הנחות!C7+(הנחות!C8-הנחות!C7)*MIN(MAX(46-18,0)/הנחות!C9,1))</f>
        <v>17066.666666666664</v>
      </c>
      <c r="AV74" s="34">
        <f>IF(47&lt;13,0,הנחות!C7+(הנחות!C8-הנחות!C7)*MIN(MAX(47-18,0)/הנחות!C9,1))</f>
        <v>17533.333333333336</v>
      </c>
      <c r="AW74" s="34">
        <f>IF(48&lt;13,0,הנחות!C7+(הנחות!C8-הנחות!C7)*MIN(MAX(48-18,0)/הנחות!C9,1))</f>
        <v>18000</v>
      </c>
      <c r="AX74" s="34">
        <f>IF(49&lt;13,0,הנחות!C7+(הנחות!C8-הנחות!C7)*MIN(MAX(49-18,0)/הנחות!C9,1))</f>
        <v>18000</v>
      </c>
      <c r="AY74" s="34">
        <f>IF(50&lt;13,0,הנחות!C7+(הנחות!C8-הנחות!C7)*MIN(MAX(50-18,0)/הנחות!C9,1))</f>
        <v>18000</v>
      </c>
      <c r="AZ74" s="34">
        <f>IF(51&lt;13,0,הנחות!C7+(הנחות!C8-הנחות!C7)*MIN(MAX(51-18,0)/הנחות!C9,1))</f>
        <v>18000</v>
      </c>
      <c r="BA74" s="34">
        <f>IF(52&lt;13,0,הנחות!C7+(הנחות!C8-הנחות!C7)*MIN(MAX(52-18,0)/הנחות!C9,1))</f>
        <v>18000</v>
      </c>
      <c r="BB74" s="34">
        <f>IF(53&lt;13,0,הנחות!C7+(הנחות!C8-הנחות!C7)*MIN(MAX(53-18,0)/הנחות!C9,1))</f>
        <v>18000</v>
      </c>
      <c r="BC74" s="34">
        <f>IF(54&lt;13,0,הנחות!C7+(הנחות!C8-הנחות!C7)*MIN(MAX(54-18,0)/הנחות!C9,1))</f>
        <v>18000</v>
      </c>
      <c r="BD74" s="34">
        <f>IF(55&lt;13,0,הנחות!C7+(הנחות!C8-הנחות!C7)*MIN(MAX(55-18,0)/הנחות!C9,1))</f>
        <v>18000</v>
      </c>
      <c r="BE74" s="34">
        <f>IF(56&lt;13,0,הנחות!C7+(הנחות!C8-הנחות!C7)*MIN(MAX(56-18,0)/הנחות!C9,1))</f>
        <v>18000</v>
      </c>
      <c r="BF74" s="34">
        <f>IF(57&lt;13,0,הנחות!C7+(הנחות!C8-הנחות!C7)*MIN(MAX(57-18,0)/הנחות!C9,1))</f>
        <v>18000</v>
      </c>
      <c r="BG74" s="34">
        <f>IF(58&lt;13,0,הנחות!C7+(הנחות!C8-הנחות!C7)*MIN(MAX(58-18,0)/הנחות!C9,1))</f>
        <v>18000</v>
      </c>
      <c r="BH74" s="34">
        <f>IF(59&lt;13,0,הנחות!C7+(הנחות!C8-הנחות!C7)*MIN(MAX(59-18,0)/הנחות!C9,1))</f>
        <v>18000</v>
      </c>
      <c r="BI74" s="34">
        <f>IF(60&lt;13,0,הנחות!C7+(הנחות!C8-הנחות!C7)*MIN(MAX(60-18,0)/הנחות!C9,1))</f>
        <v>18000</v>
      </c>
    </row>
    <row r="75" spans="1:61" x14ac:dyDescent="0.25">
      <c r="A75" s="31" t="s">
        <v>207</v>
      </c>
      <c r="B75" s="34">
        <f>IF(1&lt;25,0,הנחות!C7+(הנחות!C8-הנחות!C7)*MIN(MAX(1-30,0)/הנחות!C9,1))</f>
        <v>0</v>
      </c>
      <c r="C75" s="34">
        <f>IF(2&lt;25,0,הנחות!C7+(הנחות!C8-הנחות!C7)*MIN(MAX(2-30,0)/הנחות!C9,1))</f>
        <v>0</v>
      </c>
      <c r="D75" s="34">
        <f>IF(3&lt;25,0,הנחות!C7+(הנחות!C8-הנחות!C7)*MIN(MAX(3-30,0)/הנחות!C9,1))</f>
        <v>0</v>
      </c>
      <c r="E75" s="34">
        <f>IF(4&lt;25,0,הנחות!C7+(הנחות!C8-הנחות!C7)*MIN(MAX(4-30,0)/הנחות!C9,1))</f>
        <v>0</v>
      </c>
      <c r="F75" s="34">
        <f>IF(5&lt;25,0,הנחות!C7+(הנחות!C8-הנחות!C7)*MIN(MAX(5-30,0)/הנחות!C9,1))</f>
        <v>0</v>
      </c>
      <c r="G75" s="34">
        <f>IF(6&lt;25,0,הנחות!C7+(הנחות!C8-הנחות!C7)*MIN(MAX(6-30,0)/הנחות!C9,1))</f>
        <v>0</v>
      </c>
      <c r="H75" s="34">
        <f>IF(7&lt;25,0,הנחות!C7+(הנחות!C8-הנחות!C7)*MIN(MAX(7-30,0)/הנחות!C9,1))</f>
        <v>0</v>
      </c>
      <c r="I75" s="34">
        <f>IF(8&lt;25,0,הנחות!C7+(הנחות!C8-הנחות!C7)*MIN(MAX(8-30,0)/הנחות!C9,1))</f>
        <v>0</v>
      </c>
      <c r="J75" s="34">
        <f>IF(9&lt;25,0,הנחות!C7+(הנחות!C8-הנחות!C7)*MIN(MAX(9-30,0)/הנחות!C9,1))</f>
        <v>0</v>
      </c>
      <c r="K75" s="34">
        <f>IF(10&lt;25,0,הנחות!C7+(הנחות!C8-הנחות!C7)*MIN(MAX(10-30,0)/הנחות!C9,1))</f>
        <v>0</v>
      </c>
      <c r="L75" s="34">
        <f>IF(11&lt;25,0,הנחות!C7+(הנחות!C8-הנחות!C7)*MIN(MAX(11-30,0)/הנחות!C9,1))</f>
        <v>0</v>
      </c>
      <c r="M75" s="34">
        <f>IF(12&lt;25,0,הנחות!C7+(הנחות!C8-הנחות!C7)*MIN(MAX(12-30,0)/הנחות!C9,1))</f>
        <v>0</v>
      </c>
      <c r="N75" s="34">
        <f>IF(13&lt;25,0,הנחות!C7+(הנחות!C8-הנחות!C7)*MIN(MAX(13-30,0)/הנחות!C9,1))</f>
        <v>0</v>
      </c>
      <c r="O75" s="34">
        <f>IF(14&lt;25,0,הנחות!C7+(הנחות!C8-הנחות!C7)*MIN(MAX(14-30,0)/הנחות!C9,1))</f>
        <v>0</v>
      </c>
      <c r="P75" s="34">
        <f>IF(15&lt;25,0,הנחות!C7+(הנחות!C8-הנחות!C7)*MIN(MAX(15-30,0)/הנחות!C9,1))</f>
        <v>0</v>
      </c>
      <c r="Q75" s="34">
        <f>IF(16&lt;25,0,הנחות!C7+(הנחות!C8-הנחות!C7)*MIN(MAX(16-30,0)/הנחות!C9,1))</f>
        <v>0</v>
      </c>
      <c r="R75" s="34">
        <f>IF(17&lt;25,0,הנחות!C7+(הנחות!C8-הנחות!C7)*MIN(MAX(17-30,0)/הנחות!C9,1))</f>
        <v>0</v>
      </c>
      <c r="S75" s="34">
        <f>IF(18&lt;25,0,הנחות!C7+(הנחות!C8-הנחות!C7)*MIN(MAX(18-30,0)/הנחות!C9,1))</f>
        <v>0</v>
      </c>
      <c r="T75" s="34">
        <f>IF(19&lt;25,0,הנחות!C7+(הנחות!C8-הנחות!C7)*MIN(MAX(19-30,0)/הנחות!C9,1))</f>
        <v>0</v>
      </c>
      <c r="U75" s="34">
        <f>IF(20&lt;25,0,הנחות!C7+(הנחות!C8-הנחות!C7)*MIN(MAX(20-30,0)/הנחות!C9,1))</f>
        <v>0</v>
      </c>
      <c r="V75" s="34">
        <f>IF(21&lt;25,0,הנחות!C7+(הנחות!C8-הנחות!C7)*MIN(MAX(21-30,0)/הנחות!C9,1))</f>
        <v>0</v>
      </c>
      <c r="W75" s="34">
        <f>IF(22&lt;25,0,הנחות!C7+(הנחות!C8-הנחות!C7)*MIN(MAX(22-30,0)/הנחות!C9,1))</f>
        <v>0</v>
      </c>
      <c r="X75" s="34">
        <f>IF(23&lt;25,0,הנחות!C7+(הנחות!C8-הנחות!C7)*MIN(MAX(23-30,0)/הנחות!C9,1))</f>
        <v>0</v>
      </c>
      <c r="Y75" s="34">
        <f>IF(24&lt;25,0,הנחות!C7+(הנחות!C8-הנחות!C7)*MIN(MAX(24-30,0)/הנחות!C9,1))</f>
        <v>0</v>
      </c>
      <c r="Z75" s="34">
        <f>IF(25&lt;25,0,הנחות!C7+(הנחות!C8-הנחות!C7)*MIN(MAX(25-30,0)/הנחות!C9,1))</f>
        <v>4000</v>
      </c>
      <c r="AA75" s="34">
        <f>IF(26&lt;25,0,הנחות!C7+(הנחות!C8-הנחות!C7)*MIN(MAX(26-30,0)/הנחות!C9,1))</f>
        <v>4000</v>
      </c>
      <c r="AB75" s="34">
        <f>IF(27&lt;25,0,הנחות!C7+(הנחות!C8-הנחות!C7)*MIN(MAX(27-30,0)/הנחות!C9,1))</f>
        <v>4000</v>
      </c>
      <c r="AC75" s="34">
        <f>IF(28&lt;25,0,הנחות!C7+(הנחות!C8-הנחות!C7)*MIN(MAX(28-30,0)/הנחות!C9,1))</f>
        <v>4000</v>
      </c>
      <c r="AD75" s="34">
        <f>IF(29&lt;25,0,הנחות!C7+(הנחות!C8-הנחות!C7)*MIN(MAX(29-30,0)/הנחות!C9,1))</f>
        <v>4000</v>
      </c>
      <c r="AE75" s="34">
        <f>IF(30&lt;25,0,הנחות!C7+(הנחות!C8-הנחות!C7)*MIN(MAX(30-30,0)/הנחות!C9,1))</f>
        <v>4000</v>
      </c>
      <c r="AF75" s="34">
        <f>IF(31&lt;25,0,הנחות!C7+(הנחות!C8-הנחות!C7)*MIN(MAX(31-30,0)/הנחות!C9,1))</f>
        <v>4466.666666666667</v>
      </c>
      <c r="AG75" s="34">
        <f>IF(32&lt;25,0,הנחות!C7+(הנחות!C8-הנחות!C7)*MIN(MAX(32-30,0)/הנחות!C9,1))</f>
        <v>4933.333333333333</v>
      </c>
      <c r="AH75" s="34">
        <f>IF(33&lt;25,0,הנחות!C7+(הנחות!C8-הנחות!C7)*MIN(MAX(33-30,0)/הנחות!C9,1))</f>
        <v>5400</v>
      </c>
      <c r="AI75" s="34">
        <f>IF(34&lt;25,0,הנחות!C7+(הנחות!C8-הנחות!C7)*MIN(MAX(34-30,0)/הנחות!C9,1))</f>
        <v>5866.666666666667</v>
      </c>
      <c r="AJ75" s="34">
        <f>IF(35&lt;25,0,הנחות!C7+(הנחות!C8-הנחות!C7)*MIN(MAX(35-30,0)/הנחות!C9,1))</f>
        <v>6333.333333333333</v>
      </c>
      <c r="AK75" s="34">
        <f>IF(36&lt;25,0,הנחות!C7+(הנחות!C8-הנחות!C7)*MIN(MAX(36-30,0)/הנחות!C9,1))</f>
        <v>6800</v>
      </c>
      <c r="AL75" s="34">
        <f>IF(37&lt;25,0,הנחות!C7+(הנחות!C8-הנחות!C7)*MIN(MAX(37-30,0)/הנחות!C9,1))</f>
        <v>7266.6666666666661</v>
      </c>
      <c r="AM75" s="34">
        <f>IF(38&lt;25,0,הנחות!C7+(הנחות!C8-הנחות!C7)*MIN(MAX(38-30,0)/הנחות!C9,1))</f>
        <v>7733.3333333333339</v>
      </c>
      <c r="AN75" s="34">
        <f>IF(39&lt;25,0,הנחות!C7+(הנחות!C8-הנחות!C7)*MIN(MAX(39-30,0)/הנחות!C9,1))</f>
        <v>8200</v>
      </c>
      <c r="AO75" s="34">
        <f>IF(40&lt;25,0,הנחות!C7+(הנחות!C8-הנחות!C7)*MIN(MAX(40-30,0)/הנחות!C9,1))</f>
        <v>8666.6666666666661</v>
      </c>
      <c r="AP75" s="34">
        <f>IF(41&lt;25,0,הנחות!C7+(הנחות!C8-הנחות!C7)*MIN(MAX(41-30,0)/הנחות!C9,1))</f>
        <v>9133.3333333333321</v>
      </c>
      <c r="AQ75" s="34">
        <f>IF(42&lt;25,0,הנחות!C7+(הנחות!C8-הנחות!C7)*MIN(MAX(42-30,0)/הנחות!C9,1))</f>
        <v>9600</v>
      </c>
      <c r="AR75" s="34">
        <f>IF(43&lt;25,0,הנחות!C7+(הנחות!C8-הנחות!C7)*MIN(MAX(43-30,0)/הנחות!C9,1))</f>
        <v>10066.666666666668</v>
      </c>
      <c r="AS75" s="34">
        <f>IF(44&lt;25,0,הנחות!C7+(הנחות!C8-הנחות!C7)*MIN(MAX(44-30,0)/הנחות!C9,1))</f>
        <v>10533.333333333332</v>
      </c>
      <c r="AT75" s="34">
        <f>IF(45&lt;25,0,הנחות!C7+(הנחות!C8-הנחות!C7)*MIN(MAX(45-30,0)/הנחות!C9,1))</f>
        <v>11000</v>
      </c>
      <c r="AU75" s="34">
        <f>IF(46&lt;25,0,הנחות!C7+(הנחות!C8-הנחות!C7)*MIN(MAX(46-30,0)/הנחות!C9,1))</f>
        <v>11466.666666666668</v>
      </c>
      <c r="AV75" s="34">
        <f>IF(47&lt;25,0,הנחות!C7+(הנחות!C8-הנחות!C7)*MIN(MAX(47-30,0)/הנחות!C9,1))</f>
        <v>11933.333333333332</v>
      </c>
      <c r="AW75" s="34">
        <f>IF(48&lt;25,0,הנחות!C7+(הנחות!C8-הנחות!C7)*MIN(MAX(48-30,0)/הנחות!C9,1))</f>
        <v>12400</v>
      </c>
      <c r="AX75" s="34">
        <f>IF(49&lt;25,0,הנחות!C7+(הנחות!C8-הנחות!C7)*MIN(MAX(49-30,0)/הנחות!C9,1))</f>
        <v>12866.666666666666</v>
      </c>
      <c r="AY75" s="34">
        <f>IF(50&lt;25,0,הנחות!C7+(הנחות!C8-הנחות!C7)*MIN(MAX(50-30,0)/הנחות!C9,1))</f>
        <v>13333.333333333332</v>
      </c>
      <c r="AZ75" s="34">
        <f>IF(51&lt;25,0,הנחות!C7+(הנחות!C8-הנחות!C7)*MIN(MAX(51-30,0)/הנחות!C9,1))</f>
        <v>13800</v>
      </c>
      <c r="BA75" s="34">
        <f>IF(52&lt;25,0,הנחות!C7+(הנחות!C8-הנחות!C7)*MIN(MAX(52-30,0)/הנחות!C9,1))</f>
        <v>14266.666666666666</v>
      </c>
      <c r="BB75" s="34">
        <f>IF(53&lt;25,0,הנחות!C7+(הנחות!C8-הנחות!C7)*MIN(MAX(53-30,0)/הנחות!C9,1))</f>
        <v>14733.333333333334</v>
      </c>
      <c r="BC75" s="34">
        <f>IF(54&lt;25,0,הנחות!C7+(הנחות!C8-הנחות!C7)*MIN(MAX(54-30,0)/הנחות!C9,1))</f>
        <v>15200</v>
      </c>
      <c r="BD75" s="34">
        <f>IF(55&lt;25,0,הנחות!C7+(הנחות!C8-הנחות!C7)*MIN(MAX(55-30,0)/הנחות!C9,1))</f>
        <v>15666.666666666668</v>
      </c>
      <c r="BE75" s="34">
        <f>IF(56&lt;25,0,הנחות!C7+(הנחות!C8-הנחות!C7)*MIN(MAX(56-30,0)/הנחות!C9,1))</f>
        <v>16133.333333333334</v>
      </c>
      <c r="BF75" s="34">
        <f>IF(57&lt;25,0,הנחות!C7+(הנחות!C8-הנחות!C7)*MIN(MAX(57-30,0)/הנחות!C9,1))</f>
        <v>16600</v>
      </c>
      <c r="BG75" s="34">
        <f>IF(58&lt;25,0,הנחות!C7+(הנחות!C8-הנחות!C7)*MIN(MAX(58-30,0)/הנחות!C9,1))</f>
        <v>17066.666666666664</v>
      </c>
      <c r="BH75" s="34">
        <f>IF(59&lt;25,0,הנחות!C7+(הנחות!C8-הנחות!C7)*MIN(MAX(59-30,0)/הנחות!C9,1))</f>
        <v>17533.333333333336</v>
      </c>
      <c r="BI75" s="34">
        <f>IF(60&lt;25,0,הנחות!C7+(הנחות!C8-הנחות!C7)*MIN(MAX(60-30,0)/הנחות!C9,1))</f>
        <v>18000</v>
      </c>
    </row>
    <row r="76" spans="1:61" x14ac:dyDescent="0.25">
      <c r="A76" s="31" t="s">
        <v>208</v>
      </c>
      <c r="B76" s="34">
        <f>IF(1&lt;37,0,הנחות!C7+(הנחות!C8-הנחות!C7)*MIN(MAX(1-42,0)/הנחות!C9,1))</f>
        <v>0</v>
      </c>
      <c r="C76" s="34">
        <f>IF(2&lt;37,0,הנחות!C7+(הנחות!C8-הנחות!C7)*MIN(MAX(2-42,0)/הנחות!C9,1))</f>
        <v>0</v>
      </c>
      <c r="D76" s="34">
        <f>IF(3&lt;37,0,הנחות!C7+(הנחות!C8-הנחות!C7)*MIN(MAX(3-42,0)/הנחות!C9,1))</f>
        <v>0</v>
      </c>
      <c r="E76" s="34">
        <f>IF(4&lt;37,0,הנחות!C7+(הנחות!C8-הנחות!C7)*MIN(MAX(4-42,0)/הנחות!C9,1))</f>
        <v>0</v>
      </c>
      <c r="F76" s="34">
        <f>IF(5&lt;37,0,הנחות!C7+(הנחות!C8-הנחות!C7)*MIN(MAX(5-42,0)/הנחות!C9,1))</f>
        <v>0</v>
      </c>
      <c r="G76" s="34">
        <f>IF(6&lt;37,0,הנחות!C7+(הנחות!C8-הנחות!C7)*MIN(MAX(6-42,0)/הנחות!C9,1))</f>
        <v>0</v>
      </c>
      <c r="H76" s="34">
        <f>IF(7&lt;37,0,הנחות!C7+(הנחות!C8-הנחות!C7)*MIN(MAX(7-42,0)/הנחות!C9,1))</f>
        <v>0</v>
      </c>
      <c r="I76" s="34">
        <f>IF(8&lt;37,0,הנחות!C7+(הנחות!C8-הנחות!C7)*MIN(MAX(8-42,0)/הנחות!C9,1))</f>
        <v>0</v>
      </c>
      <c r="J76" s="34">
        <f>IF(9&lt;37,0,הנחות!C7+(הנחות!C8-הנחות!C7)*MIN(MAX(9-42,0)/הנחות!C9,1))</f>
        <v>0</v>
      </c>
      <c r="K76" s="34">
        <f>IF(10&lt;37,0,הנחות!C7+(הנחות!C8-הנחות!C7)*MIN(MAX(10-42,0)/הנחות!C9,1))</f>
        <v>0</v>
      </c>
      <c r="L76" s="34">
        <f>IF(11&lt;37,0,הנחות!C7+(הנחות!C8-הנחות!C7)*MIN(MAX(11-42,0)/הנחות!C9,1))</f>
        <v>0</v>
      </c>
      <c r="M76" s="34">
        <f>IF(12&lt;37,0,הנחות!C7+(הנחות!C8-הנחות!C7)*MIN(MAX(12-42,0)/הנחות!C9,1))</f>
        <v>0</v>
      </c>
      <c r="N76" s="34">
        <f>IF(13&lt;37,0,הנחות!C7+(הנחות!C8-הנחות!C7)*MIN(MAX(13-42,0)/הנחות!C9,1))</f>
        <v>0</v>
      </c>
      <c r="O76" s="34">
        <f>IF(14&lt;37,0,הנחות!C7+(הנחות!C8-הנחות!C7)*MIN(MAX(14-42,0)/הנחות!C9,1))</f>
        <v>0</v>
      </c>
      <c r="P76" s="34">
        <f>IF(15&lt;37,0,הנחות!C7+(הנחות!C8-הנחות!C7)*MIN(MAX(15-42,0)/הנחות!C9,1))</f>
        <v>0</v>
      </c>
      <c r="Q76" s="34">
        <f>IF(16&lt;37,0,הנחות!C7+(הנחות!C8-הנחות!C7)*MIN(MAX(16-42,0)/הנחות!C9,1))</f>
        <v>0</v>
      </c>
      <c r="R76" s="34">
        <f>IF(17&lt;37,0,הנחות!C7+(הנחות!C8-הנחות!C7)*MIN(MAX(17-42,0)/הנחות!C9,1))</f>
        <v>0</v>
      </c>
      <c r="S76" s="34">
        <f>IF(18&lt;37,0,הנחות!C7+(הנחות!C8-הנחות!C7)*MIN(MAX(18-42,0)/הנחות!C9,1))</f>
        <v>0</v>
      </c>
      <c r="T76" s="34">
        <f>IF(19&lt;37,0,הנחות!C7+(הנחות!C8-הנחות!C7)*MIN(MAX(19-42,0)/הנחות!C9,1))</f>
        <v>0</v>
      </c>
      <c r="U76" s="34">
        <f>IF(20&lt;37,0,הנחות!C7+(הנחות!C8-הנחות!C7)*MIN(MAX(20-42,0)/הנחות!C9,1))</f>
        <v>0</v>
      </c>
      <c r="V76" s="34">
        <f>IF(21&lt;37,0,הנחות!C7+(הנחות!C8-הנחות!C7)*MIN(MAX(21-42,0)/הנחות!C9,1))</f>
        <v>0</v>
      </c>
      <c r="W76" s="34">
        <f>IF(22&lt;37,0,הנחות!C7+(הנחות!C8-הנחות!C7)*MIN(MAX(22-42,0)/הנחות!C9,1))</f>
        <v>0</v>
      </c>
      <c r="X76" s="34">
        <f>IF(23&lt;37,0,הנחות!C7+(הנחות!C8-הנחות!C7)*MIN(MAX(23-42,0)/הנחות!C9,1))</f>
        <v>0</v>
      </c>
      <c r="Y76" s="34">
        <f>IF(24&lt;37,0,הנחות!C7+(הנחות!C8-הנחות!C7)*MIN(MAX(24-42,0)/הנחות!C9,1))</f>
        <v>0</v>
      </c>
      <c r="Z76" s="34">
        <f>IF(25&lt;37,0,הנחות!C7+(הנחות!C8-הנחות!C7)*MIN(MAX(25-42,0)/הנחות!C9,1))</f>
        <v>0</v>
      </c>
      <c r="AA76" s="34">
        <f>IF(26&lt;37,0,הנחות!C7+(הנחות!C8-הנחות!C7)*MIN(MAX(26-42,0)/הנחות!C9,1))</f>
        <v>0</v>
      </c>
      <c r="AB76" s="34">
        <f>IF(27&lt;37,0,הנחות!C7+(הנחות!C8-הנחות!C7)*MIN(MAX(27-42,0)/הנחות!C9,1))</f>
        <v>0</v>
      </c>
      <c r="AC76" s="34">
        <f>IF(28&lt;37,0,הנחות!C7+(הנחות!C8-הנחות!C7)*MIN(MAX(28-42,0)/הנחות!C9,1))</f>
        <v>0</v>
      </c>
      <c r="AD76" s="34">
        <f>IF(29&lt;37,0,הנחות!C7+(הנחות!C8-הנחות!C7)*MIN(MAX(29-42,0)/הנחות!C9,1))</f>
        <v>0</v>
      </c>
      <c r="AE76" s="34">
        <f>IF(30&lt;37,0,הנחות!C7+(הנחות!C8-הנחות!C7)*MIN(MAX(30-42,0)/הנחות!C9,1))</f>
        <v>0</v>
      </c>
      <c r="AF76" s="34">
        <f>IF(31&lt;37,0,הנחות!C7+(הנחות!C8-הנחות!C7)*MIN(MAX(31-42,0)/הנחות!C9,1))</f>
        <v>0</v>
      </c>
      <c r="AG76" s="34">
        <f>IF(32&lt;37,0,הנחות!C7+(הנחות!C8-הנחות!C7)*MIN(MAX(32-42,0)/הנחות!C9,1))</f>
        <v>0</v>
      </c>
      <c r="AH76" s="34">
        <f>IF(33&lt;37,0,הנחות!C7+(הנחות!C8-הנחות!C7)*MIN(MAX(33-42,0)/הנחות!C9,1))</f>
        <v>0</v>
      </c>
      <c r="AI76" s="34">
        <f>IF(34&lt;37,0,הנחות!C7+(הנחות!C8-הנחות!C7)*MIN(MAX(34-42,0)/הנחות!C9,1))</f>
        <v>0</v>
      </c>
      <c r="AJ76" s="34">
        <f>IF(35&lt;37,0,הנחות!C7+(הנחות!C8-הנחות!C7)*MIN(MAX(35-42,0)/הנחות!C9,1))</f>
        <v>0</v>
      </c>
      <c r="AK76" s="34">
        <f>IF(36&lt;37,0,הנחות!C7+(הנחות!C8-הנחות!C7)*MIN(MAX(36-42,0)/הנחות!C9,1))</f>
        <v>0</v>
      </c>
      <c r="AL76" s="34">
        <f>IF(37&lt;37,0,הנחות!C7+(הנחות!C8-הנחות!C7)*MIN(MAX(37-42,0)/הנחות!C9,1))</f>
        <v>4000</v>
      </c>
      <c r="AM76" s="34">
        <f>IF(38&lt;37,0,הנחות!C7+(הנחות!C8-הנחות!C7)*MIN(MAX(38-42,0)/הנחות!C9,1))</f>
        <v>4000</v>
      </c>
      <c r="AN76" s="34">
        <f>IF(39&lt;37,0,הנחות!C7+(הנחות!C8-הנחות!C7)*MIN(MAX(39-42,0)/הנחות!C9,1))</f>
        <v>4000</v>
      </c>
      <c r="AO76" s="34">
        <f>IF(40&lt;37,0,הנחות!C7+(הנחות!C8-הנחות!C7)*MIN(MAX(40-42,0)/הנחות!C9,1))</f>
        <v>4000</v>
      </c>
      <c r="AP76" s="34">
        <f>IF(41&lt;37,0,הנחות!C7+(הנחות!C8-הנחות!C7)*MIN(MAX(41-42,0)/הנחות!C9,1))</f>
        <v>4000</v>
      </c>
      <c r="AQ76" s="34">
        <f>IF(42&lt;37,0,הנחות!C7+(הנחות!C8-הנחות!C7)*MIN(MAX(42-42,0)/הנחות!C9,1))</f>
        <v>4000</v>
      </c>
      <c r="AR76" s="34">
        <f>IF(43&lt;37,0,הנחות!C7+(הנחות!C8-הנחות!C7)*MIN(MAX(43-42,0)/הנחות!C9,1))</f>
        <v>4466.666666666667</v>
      </c>
      <c r="AS76" s="34">
        <f>IF(44&lt;37,0,הנחות!C7+(הנחות!C8-הנחות!C7)*MIN(MAX(44-42,0)/הנחות!C9,1))</f>
        <v>4933.333333333333</v>
      </c>
      <c r="AT76" s="34">
        <f>IF(45&lt;37,0,הנחות!C7+(הנחות!C8-הנחות!C7)*MIN(MAX(45-42,0)/הנחות!C9,1))</f>
        <v>5400</v>
      </c>
      <c r="AU76" s="34">
        <f>IF(46&lt;37,0,הנחות!C7+(הנחות!C8-הנחות!C7)*MIN(MAX(46-42,0)/הנחות!C9,1))</f>
        <v>5866.666666666667</v>
      </c>
      <c r="AV76" s="34">
        <f>IF(47&lt;37,0,הנחות!C7+(הנחות!C8-הנחות!C7)*MIN(MAX(47-42,0)/הנחות!C9,1))</f>
        <v>6333.333333333333</v>
      </c>
      <c r="AW76" s="34">
        <f>IF(48&lt;37,0,הנחות!C7+(הנחות!C8-הנחות!C7)*MIN(MAX(48-42,0)/הנחות!C9,1))</f>
        <v>6800</v>
      </c>
      <c r="AX76" s="34">
        <f>IF(49&lt;37,0,הנחות!C7+(הנחות!C8-הנחות!C7)*MIN(MAX(49-42,0)/הנחות!C9,1))</f>
        <v>7266.6666666666661</v>
      </c>
      <c r="AY76" s="34">
        <f>IF(50&lt;37,0,הנחות!C7+(הנחות!C8-הנחות!C7)*MIN(MAX(50-42,0)/הנחות!C9,1))</f>
        <v>7733.3333333333339</v>
      </c>
      <c r="AZ76" s="34">
        <f>IF(51&lt;37,0,הנחות!C7+(הנחות!C8-הנחות!C7)*MIN(MAX(51-42,0)/הנחות!C9,1))</f>
        <v>8200</v>
      </c>
      <c r="BA76" s="34">
        <f>IF(52&lt;37,0,הנחות!C7+(הנחות!C8-הנחות!C7)*MIN(MAX(52-42,0)/הנחות!C9,1))</f>
        <v>8666.6666666666661</v>
      </c>
      <c r="BB76" s="34">
        <f>IF(53&lt;37,0,הנחות!C7+(הנחות!C8-הנחות!C7)*MIN(MAX(53-42,0)/הנחות!C9,1))</f>
        <v>9133.3333333333321</v>
      </c>
      <c r="BC76" s="34">
        <f>IF(54&lt;37,0,הנחות!C7+(הנחות!C8-הנחות!C7)*MIN(MAX(54-42,0)/הנחות!C9,1))</f>
        <v>9600</v>
      </c>
      <c r="BD76" s="34">
        <f>IF(55&lt;37,0,הנחות!C7+(הנחות!C8-הנחות!C7)*MIN(MAX(55-42,0)/הנחות!C9,1))</f>
        <v>10066.666666666668</v>
      </c>
      <c r="BE76" s="34">
        <f>IF(56&lt;37,0,הנחות!C7+(הנחות!C8-הנחות!C7)*MIN(MAX(56-42,0)/הנחות!C9,1))</f>
        <v>10533.333333333332</v>
      </c>
      <c r="BF76" s="34">
        <f>IF(57&lt;37,0,הנחות!C7+(הנחות!C8-הנחות!C7)*MIN(MAX(57-42,0)/הנחות!C9,1))</f>
        <v>11000</v>
      </c>
      <c r="BG76" s="34">
        <f>IF(58&lt;37,0,הנחות!C7+(הנחות!C8-הנחות!C7)*MIN(MAX(58-42,0)/הנחות!C9,1))</f>
        <v>11466.666666666668</v>
      </c>
      <c r="BH76" s="34">
        <f>IF(59&lt;37,0,הנחות!C7+(הנחות!C8-הנחות!C7)*MIN(MAX(59-42,0)/הנחות!C9,1))</f>
        <v>11933.333333333332</v>
      </c>
      <c r="BI76" s="34">
        <f>IF(60&lt;37,0,הנחות!C7+(הנחות!C8-הנחות!C7)*MIN(MAX(60-42,0)/הנחות!C9,1))</f>
        <v>12400</v>
      </c>
    </row>
    <row r="77" spans="1:61" x14ac:dyDescent="0.25">
      <c r="A77" s="31" t="s">
        <v>209</v>
      </c>
      <c r="B77" s="34">
        <f>IF(1&lt;49,0,הנחות!C7+(הנחות!C8-הנחות!C7)*MIN(MAX(1-54,0)/הנחות!C9,1))</f>
        <v>0</v>
      </c>
      <c r="C77" s="34">
        <f>IF(2&lt;49,0,הנחות!C7+(הנחות!C8-הנחות!C7)*MIN(MAX(2-54,0)/הנחות!C9,1))</f>
        <v>0</v>
      </c>
      <c r="D77" s="34">
        <f>IF(3&lt;49,0,הנחות!C7+(הנחות!C8-הנחות!C7)*MIN(MAX(3-54,0)/הנחות!C9,1))</f>
        <v>0</v>
      </c>
      <c r="E77" s="34">
        <f>IF(4&lt;49,0,הנחות!C7+(הנחות!C8-הנחות!C7)*MIN(MAX(4-54,0)/הנחות!C9,1))</f>
        <v>0</v>
      </c>
      <c r="F77" s="34">
        <f>IF(5&lt;49,0,הנחות!C7+(הנחות!C8-הנחות!C7)*MIN(MAX(5-54,0)/הנחות!C9,1))</f>
        <v>0</v>
      </c>
      <c r="G77" s="34">
        <f>IF(6&lt;49,0,הנחות!C7+(הנחות!C8-הנחות!C7)*MIN(MAX(6-54,0)/הנחות!C9,1))</f>
        <v>0</v>
      </c>
      <c r="H77" s="34">
        <f>IF(7&lt;49,0,הנחות!C7+(הנחות!C8-הנחות!C7)*MIN(MAX(7-54,0)/הנחות!C9,1))</f>
        <v>0</v>
      </c>
      <c r="I77" s="34">
        <f>IF(8&lt;49,0,הנחות!C7+(הנחות!C8-הנחות!C7)*MIN(MAX(8-54,0)/הנחות!C9,1))</f>
        <v>0</v>
      </c>
      <c r="J77" s="34">
        <f>IF(9&lt;49,0,הנחות!C7+(הנחות!C8-הנחות!C7)*MIN(MAX(9-54,0)/הנחות!C9,1))</f>
        <v>0</v>
      </c>
      <c r="K77" s="34">
        <f>IF(10&lt;49,0,הנחות!C7+(הנחות!C8-הנחות!C7)*MIN(MAX(10-54,0)/הנחות!C9,1))</f>
        <v>0</v>
      </c>
      <c r="L77" s="34">
        <f>IF(11&lt;49,0,הנחות!C7+(הנחות!C8-הנחות!C7)*MIN(MAX(11-54,0)/הנחות!C9,1))</f>
        <v>0</v>
      </c>
      <c r="M77" s="34">
        <f>IF(12&lt;49,0,הנחות!C7+(הנחות!C8-הנחות!C7)*MIN(MAX(12-54,0)/הנחות!C9,1))</f>
        <v>0</v>
      </c>
      <c r="N77" s="34">
        <f>IF(13&lt;49,0,הנחות!C7+(הנחות!C8-הנחות!C7)*MIN(MAX(13-54,0)/הנחות!C9,1))</f>
        <v>0</v>
      </c>
      <c r="O77" s="34">
        <f>IF(14&lt;49,0,הנחות!C7+(הנחות!C8-הנחות!C7)*MIN(MAX(14-54,0)/הנחות!C9,1))</f>
        <v>0</v>
      </c>
      <c r="P77" s="34">
        <f>IF(15&lt;49,0,הנחות!C7+(הנחות!C8-הנחות!C7)*MIN(MAX(15-54,0)/הנחות!C9,1))</f>
        <v>0</v>
      </c>
      <c r="Q77" s="34">
        <f>IF(16&lt;49,0,הנחות!C7+(הנחות!C8-הנחות!C7)*MIN(MAX(16-54,0)/הנחות!C9,1))</f>
        <v>0</v>
      </c>
      <c r="R77" s="34">
        <f>IF(17&lt;49,0,הנחות!C7+(הנחות!C8-הנחות!C7)*MIN(MAX(17-54,0)/הנחות!C9,1))</f>
        <v>0</v>
      </c>
      <c r="S77" s="34">
        <f>IF(18&lt;49,0,הנחות!C7+(הנחות!C8-הנחות!C7)*MIN(MAX(18-54,0)/הנחות!C9,1))</f>
        <v>0</v>
      </c>
      <c r="T77" s="34">
        <f>IF(19&lt;49,0,הנחות!C7+(הנחות!C8-הנחות!C7)*MIN(MAX(19-54,0)/הנחות!C9,1))</f>
        <v>0</v>
      </c>
      <c r="U77" s="34">
        <f>IF(20&lt;49,0,הנחות!C7+(הנחות!C8-הנחות!C7)*MIN(MAX(20-54,0)/הנחות!C9,1))</f>
        <v>0</v>
      </c>
      <c r="V77" s="34">
        <f>IF(21&lt;49,0,הנחות!C7+(הנחות!C8-הנחות!C7)*MIN(MAX(21-54,0)/הנחות!C9,1))</f>
        <v>0</v>
      </c>
      <c r="W77" s="34">
        <f>IF(22&lt;49,0,הנחות!C7+(הנחות!C8-הנחות!C7)*MIN(MAX(22-54,0)/הנחות!C9,1))</f>
        <v>0</v>
      </c>
      <c r="X77" s="34">
        <f>IF(23&lt;49,0,הנחות!C7+(הנחות!C8-הנחות!C7)*MIN(MAX(23-54,0)/הנחות!C9,1))</f>
        <v>0</v>
      </c>
      <c r="Y77" s="34">
        <f>IF(24&lt;49,0,הנחות!C7+(הנחות!C8-הנחות!C7)*MIN(MAX(24-54,0)/הנחות!C9,1))</f>
        <v>0</v>
      </c>
      <c r="Z77" s="34">
        <f>IF(25&lt;49,0,הנחות!C7+(הנחות!C8-הנחות!C7)*MIN(MAX(25-54,0)/הנחות!C9,1))</f>
        <v>0</v>
      </c>
      <c r="AA77" s="34">
        <f>IF(26&lt;49,0,הנחות!C7+(הנחות!C8-הנחות!C7)*MIN(MAX(26-54,0)/הנחות!C9,1))</f>
        <v>0</v>
      </c>
      <c r="AB77" s="34">
        <f>IF(27&lt;49,0,הנחות!C7+(הנחות!C8-הנחות!C7)*MIN(MAX(27-54,0)/הנחות!C9,1))</f>
        <v>0</v>
      </c>
      <c r="AC77" s="34">
        <f>IF(28&lt;49,0,הנחות!C7+(הנחות!C8-הנחות!C7)*MIN(MAX(28-54,0)/הנחות!C9,1))</f>
        <v>0</v>
      </c>
      <c r="AD77" s="34">
        <f>IF(29&lt;49,0,הנחות!C7+(הנחות!C8-הנחות!C7)*MIN(MAX(29-54,0)/הנחות!C9,1))</f>
        <v>0</v>
      </c>
      <c r="AE77" s="34">
        <f>IF(30&lt;49,0,הנחות!C7+(הנחות!C8-הנחות!C7)*MIN(MAX(30-54,0)/הנחות!C9,1))</f>
        <v>0</v>
      </c>
      <c r="AF77" s="34">
        <f>IF(31&lt;49,0,הנחות!C7+(הנחות!C8-הנחות!C7)*MIN(MAX(31-54,0)/הנחות!C9,1))</f>
        <v>0</v>
      </c>
      <c r="AG77" s="34">
        <f>IF(32&lt;49,0,הנחות!C7+(הנחות!C8-הנחות!C7)*MIN(MAX(32-54,0)/הנחות!C9,1))</f>
        <v>0</v>
      </c>
      <c r="AH77" s="34">
        <f>IF(33&lt;49,0,הנחות!C7+(הנחות!C8-הנחות!C7)*MIN(MAX(33-54,0)/הנחות!C9,1))</f>
        <v>0</v>
      </c>
      <c r="AI77" s="34">
        <f>IF(34&lt;49,0,הנחות!C7+(הנחות!C8-הנחות!C7)*MIN(MAX(34-54,0)/הנחות!C9,1))</f>
        <v>0</v>
      </c>
      <c r="AJ77" s="34">
        <f>IF(35&lt;49,0,הנחות!C7+(הנחות!C8-הנחות!C7)*MIN(MAX(35-54,0)/הנחות!C9,1))</f>
        <v>0</v>
      </c>
      <c r="AK77" s="34">
        <f>IF(36&lt;49,0,הנחות!C7+(הנחות!C8-הנחות!C7)*MIN(MAX(36-54,0)/הנחות!C9,1))</f>
        <v>0</v>
      </c>
      <c r="AL77" s="34">
        <f>IF(37&lt;49,0,הנחות!C7+(הנחות!C8-הנחות!C7)*MIN(MAX(37-54,0)/הנחות!C9,1))</f>
        <v>0</v>
      </c>
      <c r="AM77" s="34">
        <f>IF(38&lt;49,0,הנחות!C7+(הנחות!C8-הנחות!C7)*MIN(MAX(38-54,0)/הנחות!C9,1))</f>
        <v>0</v>
      </c>
      <c r="AN77" s="34">
        <f>IF(39&lt;49,0,הנחות!C7+(הנחות!C8-הנחות!C7)*MIN(MAX(39-54,0)/הנחות!C9,1))</f>
        <v>0</v>
      </c>
      <c r="AO77" s="34">
        <f>IF(40&lt;49,0,הנחות!C7+(הנחות!C8-הנחות!C7)*MIN(MAX(40-54,0)/הנחות!C9,1))</f>
        <v>0</v>
      </c>
      <c r="AP77" s="34">
        <f>IF(41&lt;49,0,הנחות!C7+(הנחות!C8-הנחות!C7)*MIN(MAX(41-54,0)/הנחות!C9,1))</f>
        <v>0</v>
      </c>
      <c r="AQ77" s="34">
        <f>IF(42&lt;49,0,הנחות!C7+(הנחות!C8-הנחות!C7)*MIN(MAX(42-54,0)/הנחות!C9,1))</f>
        <v>0</v>
      </c>
      <c r="AR77" s="34">
        <f>IF(43&lt;49,0,הנחות!C7+(הנחות!C8-הנחות!C7)*MIN(MAX(43-54,0)/הנחות!C9,1))</f>
        <v>0</v>
      </c>
      <c r="AS77" s="34">
        <f>IF(44&lt;49,0,הנחות!C7+(הנחות!C8-הנחות!C7)*MIN(MAX(44-54,0)/הנחות!C9,1))</f>
        <v>0</v>
      </c>
      <c r="AT77" s="34">
        <f>IF(45&lt;49,0,הנחות!C7+(הנחות!C8-הנחות!C7)*MIN(MAX(45-54,0)/הנחות!C9,1))</f>
        <v>0</v>
      </c>
      <c r="AU77" s="34">
        <f>IF(46&lt;49,0,הנחות!C7+(הנחות!C8-הנחות!C7)*MIN(MAX(46-54,0)/הנחות!C9,1))</f>
        <v>0</v>
      </c>
      <c r="AV77" s="34">
        <f>IF(47&lt;49,0,הנחות!C7+(הנחות!C8-הנחות!C7)*MIN(MAX(47-54,0)/הנחות!C9,1))</f>
        <v>0</v>
      </c>
      <c r="AW77" s="34">
        <f>IF(48&lt;49,0,הנחות!C7+(הנחות!C8-הנחות!C7)*MIN(MAX(48-54,0)/הנחות!C9,1))</f>
        <v>0</v>
      </c>
      <c r="AX77" s="34">
        <f>IF(49&lt;49,0,הנחות!C7+(הנחות!C8-הנחות!C7)*MIN(MAX(49-54,0)/הנחות!C9,1))</f>
        <v>4000</v>
      </c>
      <c r="AY77" s="34">
        <f>IF(50&lt;49,0,הנחות!C7+(הנחות!C8-הנחות!C7)*MIN(MAX(50-54,0)/הנחות!C9,1))</f>
        <v>4000</v>
      </c>
      <c r="AZ77" s="34">
        <f>IF(51&lt;49,0,הנחות!C7+(הנחות!C8-הנחות!C7)*MIN(MAX(51-54,0)/הנחות!C9,1))</f>
        <v>4000</v>
      </c>
      <c r="BA77" s="34">
        <f>IF(52&lt;49,0,הנחות!C7+(הנחות!C8-הנחות!C7)*MIN(MAX(52-54,0)/הנחות!C9,1))</f>
        <v>4000</v>
      </c>
      <c r="BB77" s="34">
        <f>IF(53&lt;49,0,הנחות!C7+(הנחות!C8-הנחות!C7)*MIN(MAX(53-54,0)/הנחות!C9,1))</f>
        <v>4000</v>
      </c>
      <c r="BC77" s="34">
        <f>IF(54&lt;49,0,הנחות!C7+(הנחות!C8-הנחות!C7)*MIN(MAX(54-54,0)/הנחות!C9,1))</f>
        <v>4000</v>
      </c>
      <c r="BD77" s="34">
        <f>IF(55&lt;49,0,הנחות!C7+(הנחות!C8-הנחות!C7)*MIN(MAX(55-54,0)/הנחות!C9,1))</f>
        <v>4466.666666666667</v>
      </c>
      <c r="BE77" s="34">
        <f>IF(56&lt;49,0,הנחות!C7+(הנחות!C8-הנחות!C7)*MIN(MAX(56-54,0)/הנחות!C9,1))</f>
        <v>4933.333333333333</v>
      </c>
      <c r="BF77" s="34">
        <f>IF(57&lt;49,0,הנחות!C7+(הנחות!C8-הנחות!C7)*MIN(MAX(57-54,0)/הנחות!C9,1))</f>
        <v>5400</v>
      </c>
      <c r="BG77" s="34">
        <f>IF(58&lt;49,0,הנחות!C7+(הנחות!C8-הנחות!C7)*MIN(MAX(58-54,0)/הנחות!C9,1))</f>
        <v>5866.666666666667</v>
      </c>
      <c r="BH77" s="34">
        <f>IF(59&lt;49,0,הנחות!C7+(הנחות!C8-הנחות!C7)*MIN(MAX(59-54,0)/הנחות!C9,1))</f>
        <v>6333.333333333333</v>
      </c>
      <c r="BI77" s="34">
        <f>IF(60&lt;49,0,הנחות!C7+(הנחות!C8-הנחות!C7)*MIN(MAX(60-54,0)/הנחות!C9,1))</f>
        <v>6800</v>
      </c>
    </row>
    <row r="78" spans="1:61" x14ac:dyDescent="0.25">
      <c r="A78" s="31" t="s">
        <v>210</v>
      </c>
      <c r="B78" s="34">
        <f>IF(1&lt;6,0,הנחות!D7+(הנחות!D8-הנחות!D7)*MIN(MAX(1-9,0)/הנחות!D9,1))</f>
        <v>0</v>
      </c>
      <c r="C78" s="34">
        <f>IF(2&lt;6,0,הנחות!D7+(הנחות!D8-הנחות!D7)*MIN(MAX(2-9,0)/הנחות!D9,1))</f>
        <v>0</v>
      </c>
      <c r="D78" s="34">
        <f>IF(3&lt;6,0,הנחות!D7+(הנחות!D8-הנחות!D7)*MIN(MAX(3-9,0)/הנחות!D9,1))</f>
        <v>0</v>
      </c>
      <c r="E78" s="34">
        <f>IF(4&lt;6,0,הנחות!D7+(הנחות!D8-הנחות!D7)*MIN(MAX(4-9,0)/הנחות!D9,1))</f>
        <v>0</v>
      </c>
      <c r="F78" s="34">
        <f>IF(5&lt;6,0,הנחות!D7+(הנחות!D8-הנחות!D7)*MIN(MAX(5-9,0)/הנחות!D9,1))</f>
        <v>0</v>
      </c>
      <c r="G78" s="34">
        <f>IF(6&lt;6,0,הנחות!D7+(הנחות!D8-הנחות!D7)*MIN(MAX(6-9,0)/הנחות!D9,1))</f>
        <v>20000</v>
      </c>
      <c r="H78" s="34">
        <f>IF(7&lt;6,0,הנחות!D7+(הנחות!D8-הנחות!D7)*MIN(MAX(7-9,0)/הנחות!D9,1))</f>
        <v>20000</v>
      </c>
      <c r="I78" s="34">
        <f>IF(8&lt;6,0,הנחות!D7+(הנחות!D8-הנחות!D7)*MIN(MAX(8-9,0)/הנחות!D9,1))</f>
        <v>20000</v>
      </c>
      <c r="J78" s="34">
        <f>IF(9&lt;6,0,הנחות!D7+(הנחות!D8-הנחות!D7)*MIN(MAX(9-9,0)/הנחות!D9,1))</f>
        <v>20000</v>
      </c>
      <c r="K78" s="34">
        <f>IF(10&lt;6,0,הנחות!D7+(הנחות!D8-הנחות!D7)*MIN(MAX(10-9,0)/הנחות!D9,1))</f>
        <v>21041.666666666668</v>
      </c>
      <c r="L78" s="34">
        <f>IF(11&lt;6,0,הנחות!D7+(הנחות!D8-הנחות!D7)*MIN(MAX(11-9,0)/הנחות!D9,1))</f>
        <v>22083.333333333332</v>
      </c>
      <c r="M78" s="34">
        <f>IF(12&lt;6,0,הנחות!D7+(הנחות!D8-הנחות!D7)*MIN(MAX(12-9,0)/הנחות!D9,1))</f>
        <v>23125</v>
      </c>
      <c r="N78" s="34">
        <f>IF(13&lt;6,0,הנחות!D7+(הנחות!D8-הנחות!D7)*MIN(MAX(13-9,0)/הנחות!D9,1))</f>
        <v>24166.666666666664</v>
      </c>
      <c r="O78" s="34">
        <f>IF(14&lt;6,0,הנחות!D7+(הנחות!D8-הנחות!D7)*MIN(MAX(14-9,0)/הנחות!D9,1))</f>
        <v>25208.333333333336</v>
      </c>
      <c r="P78" s="34">
        <f>IF(15&lt;6,0,הנחות!D7+(הנחות!D8-הנחות!D7)*MIN(MAX(15-9,0)/הנחות!D9,1))</f>
        <v>26250</v>
      </c>
      <c r="Q78" s="34">
        <f>IF(16&lt;6,0,הנחות!D7+(הנחות!D8-הנחות!D7)*MIN(MAX(16-9,0)/הנחות!D9,1))</f>
        <v>27291.666666666668</v>
      </c>
      <c r="R78" s="34">
        <f>IF(17&lt;6,0,הנחות!D7+(הנחות!D8-הנחות!D7)*MIN(MAX(17-9,0)/הנחות!D9,1))</f>
        <v>28333.333333333332</v>
      </c>
      <c r="S78" s="34">
        <f>IF(18&lt;6,0,הנחות!D7+(הנחות!D8-הנחות!D7)*MIN(MAX(18-9,0)/הנחות!D9,1))</f>
        <v>29375</v>
      </c>
      <c r="T78" s="34">
        <f>IF(19&lt;6,0,הנחות!D7+(הנחות!D8-הנחות!D7)*MIN(MAX(19-9,0)/הנחות!D9,1))</f>
        <v>30416.666666666668</v>
      </c>
      <c r="U78" s="34">
        <f>IF(20&lt;6,0,הנחות!D7+(הנחות!D8-הנחות!D7)*MIN(MAX(20-9,0)/הנחות!D9,1))</f>
        <v>31458.333333333332</v>
      </c>
      <c r="V78" s="34">
        <f>IF(21&lt;6,0,הנחות!D7+(הנחות!D8-הנחות!D7)*MIN(MAX(21-9,0)/הנחות!D9,1))</f>
        <v>32500</v>
      </c>
      <c r="W78" s="34">
        <f>IF(22&lt;6,0,הנחות!D7+(הנחות!D8-הנחות!D7)*MIN(MAX(22-9,0)/הנחות!D9,1))</f>
        <v>33541.666666666664</v>
      </c>
      <c r="X78" s="34">
        <f>IF(23&lt;6,0,הנחות!D7+(הנחות!D8-הנחות!D7)*MIN(MAX(23-9,0)/הנחות!D9,1))</f>
        <v>34583.333333333336</v>
      </c>
      <c r="Y78" s="34">
        <f>IF(24&lt;6,0,הנחות!D7+(הנחות!D8-הנחות!D7)*MIN(MAX(24-9,0)/הנחות!D9,1))</f>
        <v>35625</v>
      </c>
      <c r="Z78" s="34">
        <f>IF(25&lt;6,0,הנחות!D7+(הנחות!D8-הנחות!D7)*MIN(MAX(25-9,0)/הנחות!D9,1))</f>
        <v>36666.666666666664</v>
      </c>
      <c r="AA78" s="34">
        <f>IF(26&lt;6,0,הנחות!D7+(הנחות!D8-הנחות!D7)*MIN(MAX(26-9,0)/הנחות!D9,1))</f>
        <v>37708.333333333336</v>
      </c>
      <c r="AB78" s="34">
        <f>IF(27&lt;6,0,הנחות!D7+(הנחות!D8-הנחות!D7)*MIN(MAX(27-9,0)/הנחות!D9,1))</f>
        <v>38750</v>
      </c>
      <c r="AC78" s="34">
        <f>IF(28&lt;6,0,הנחות!D7+(הנחות!D8-הנחות!D7)*MIN(MAX(28-9,0)/הנחות!D9,1))</f>
        <v>39791.666666666664</v>
      </c>
      <c r="AD78" s="34">
        <f>IF(29&lt;6,0,הנחות!D7+(הנחות!D8-הנחות!D7)*MIN(MAX(29-9,0)/הנחות!D9,1))</f>
        <v>40833.333333333336</v>
      </c>
      <c r="AE78" s="34">
        <f>IF(30&lt;6,0,הנחות!D7+(הנחות!D8-הנחות!D7)*MIN(MAX(30-9,0)/הנחות!D9,1))</f>
        <v>41875</v>
      </c>
      <c r="AF78" s="34">
        <f>IF(31&lt;6,0,הנחות!D7+(הנחות!D8-הנחות!D7)*MIN(MAX(31-9,0)/הנחות!D9,1))</f>
        <v>42916.666666666664</v>
      </c>
      <c r="AG78" s="34">
        <f>IF(32&lt;6,0,הנחות!D7+(הנחות!D8-הנחות!D7)*MIN(MAX(32-9,0)/הנחות!D9,1))</f>
        <v>43958.333333333336</v>
      </c>
      <c r="AH78" s="34">
        <f>IF(33&lt;6,0,הנחות!D7+(הנחות!D8-הנחות!D7)*MIN(MAX(33-9,0)/הנחות!D9,1))</f>
        <v>45000</v>
      </c>
      <c r="AI78" s="34">
        <f>IF(34&lt;6,0,הנחות!D7+(הנחות!D8-הנחות!D7)*MIN(MAX(34-9,0)/הנחות!D9,1))</f>
        <v>45000</v>
      </c>
      <c r="AJ78" s="34">
        <f>IF(35&lt;6,0,הנחות!D7+(הנחות!D8-הנחות!D7)*MIN(MAX(35-9,0)/הנחות!D9,1))</f>
        <v>45000</v>
      </c>
      <c r="AK78" s="34">
        <f>IF(36&lt;6,0,הנחות!D7+(הנחות!D8-הנחות!D7)*MIN(MAX(36-9,0)/הנחות!D9,1))</f>
        <v>45000</v>
      </c>
      <c r="AL78" s="34">
        <f>IF(37&lt;6,0,הנחות!D7+(הנחות!D8-הנחות!D7)*MIN(MAX(37-9,0)/הנחות!D9,1))</f>
        <v>45000</v>
      </c>
      <c r="AM78" s="34">
        <f>IF(38&lt;6,0,הנחות!D7+(הנחות!D8-הנחות!D7)*MIN(MAX(38-9,0)/הנחות!D9,1))</f>
        <v>45000</v>
      </c>
      <c r="AN78" s="34">
        <f>IF(39&lt;6,0,הנחות!D7+(הנחות!D8-הנחות!D7)*MIN(MAX(39-9,0)/הנחות!D9,1))</f>
        <v>45000</v>
      </c>
      <c r="AO78" s="34">
        <f>IF(40&lt;6,0,הנחות!D7+(הנחות!D8-הנחות!D7)*MIN(MAX(40-9,0)/הנחות!D9,1))</f>
        <v>45000</v>
      </c>
      <c r="AP78" s="34">
        <f>IF(41&lt;6,0,הנחות!D7+(הנחות!D8-הנחות!D7)*MIN(MAX(41-9,0)/הנחות!D9,1))</f>
        <v>45000</v>
      </c>
      <c r="AQ78" s="34">
        <f>IF(42&lt;6,0,הנחות!D7+(הנחות!D8-הנחות!D7)*MIN(MAX(42-9,0)/הנחות!D9,1))</f>
        <v>45000</v>
      </c>
      <c r="AR78" s="34">
        <f>IF(43&lt;6,0,הנחות!D7+(הנחות!D8-הנחות!D7)*MIN(MAX(43-9,0)/הנחות!D9,1))</f>
        <v>45000</v>
      </c>
      <c r="AS78" s="34">
        <f>IF(44&lt;6,0,הנחות!D7+(הנחות!D8-הנחות!D7)*MIN(MAX(44-9,0)/הנחות!D9,1))</f>
        <v>45000</v>
      </c>
      <c r="AT78" s="34">
        <f>IF(45&lt;6,0,הנחות!D7+(הנחות!D8-הנחות!D7)*MIN(MAX(45-9,0)/הנחות!D9,1))</f>
        <v>45000</v>
      </c>
      <c r="AU78" s="34">
        <f>IF(46&lt;6,0,הנחות!D7+(הנחות!D8-הנחות!D7)*MIN(MAX(46-9,0)/הנחות!D9,1))</f>
        <v>45000</v>
      </c>
      <c r="AV78" s="34">
        <f>IF(47&lt;6,0,הנחות!D7+(הנחות!D8-הנחות!D7)*MIN(MAX(47-9,0)/הנחות!D9,1))</f>
        <v>45000</v>
      </c>
      <c r="AW78" s="34">
        <f>IF(48&lt;6,0,הנחות!D7+(הנחות!D8-הנחות!D7)*MIN(MAX(48-9,0)/הנחות!D9,1))</f>
        <v>45000</v>
      </c>
      <c r="AX78" s="34">
        <f>IF(49&lt;6,0,הנחות!D7+(הנחות!D8-הנחות!D7)*MIN(MAX(49-9,0)/הנחות!D9,1))</f>
        <v>45000</v>
      </c>
      <c r="AY78" s="34">
        <f>IF(50&lt;6,0,הנחות!D7+(הנחות!D8-הנחות!D7)*MIN(MAX(50-9,0)/הנחות!D9,1))</f>
        <v>45000</v>
      </c>
      <c r="AZ78" s="34">
        <f>IF(51&lt;6,0,הנחות!D7+(הנחות!D8-הנחות!D7)*MIN(MAX(51-9,0)/הנחות!D9,1))</f>
        <v>45000</v>
      </c>
      <c r="BA78" s="34">
        <f>IF(52&lt;6,0,הנחות!D7+(הנחות!D8-הנחות!D7)*MIN(MAX(52-9,0)/הנחות!D9,1))</f>
        <v>45000</v>
      </c>
      <c r="BB78" s="34">
        <f>IF(53&lt;6,0,הנחות!D7+(הנחות!D8-הנחות!D7)*MIN(MAX(53-9,0)/הנחות!D9,1))</f>
        <v>45000</v>
      </c>
      <c r="BC78" s="34">
        <f>IF(54&lt;6,0,הנחות!D7+(הנחות!D8-הנחות!D7)*MIN(MAX(54-9,0)/הנחות!D9,1))</f>
        <v>45000</v>
      </c>
      <c r="BD78" s="34">
        <f>IF(55&lt;6,0,הנחות!D7+(הנחות!D8-הנחות!D7)*MIN(MAX(55-9,0)/הנחות!D9,1))</f>
        <v>45000</v>
      </c>
      <c r="BE78" s="34">
        <f>IF(56&lt;6,0,הנחות!D7+(הנחות!D8-הנחות!D7)*MIN(MAX(56-9,0)/הנחות!D9,1))</f>
        <v>45000</v>
      </c>
      <c r="BF78" s="34">
        <f>IF(57&lt;6,0,הנחות!D7+(הנחות!D8-הנחות!D7)*MIN(MAX(57-9,0)/הנחות!D9,1))</f>
        <v>45000</v>
      </c>
      <c r="BG78" s="34">
        <f>IF(58&lt;6,0,הנחות!D7+(הנחות!D8-הנחות!D7)*MIN(MAX(58-9,0)/הנחות!D9,1))</f>
        <v>45000</v>
      </c>
      <c r="BH78" s="34">
        <f>IF(59&lt;6,0,הנחות!D7+(הנחות!D8-הנחות!D7)*MIN(MAX(59-9,0)/הנחות!D9,1))</f>
        <v>45000</v>
      </c>
      <c r="BI78" s="34">
        <f>IF(60&lt;6,0,הנחות!D7+(הנחות!D8-הנחות!D7)*MIN(MAX(60-9,0)/הנחות!D9,1))</f>
        <v>45000</v>
      </c>
    </row>
    <row r="79" spans="1:61" x14ac:dyDescent="0.25">
      <c r="A79" s="31" t="s">
        <v>211</v>
      </c>
      <c r="B79" s="34">
        <f>IF(1&lt;13,0,הנחות!D7+(הנחות!D8-הנחות!D7)*MIN(MAX(1-18,0)/הנחות!D9,1))</f>
        <v>0</v>
      </c>
      <c r="C79" s="34">
        <f>IF(2&lt;13,0,הנחות!D7+(הנחות!D8-הנחות!D7)*MIN(MAX(2-18,0)/הנחות!D9,1))</f>
        <v>0</v>
      </c>
      <c r="D79" s="34">
        <f>IF(3&lt;13,0,הנחות!D7+(הנחות!D8-הנחות!D7)*MIN(MAX(3-18,0)/הנחות!D9,1))</f>
        <v>0</v>
      </c>
      <c r="E79" s="34">
        <f>IF(4&lt;13,0,הנחות!D7+(הנחות!D8-הנחות!D7)*MIN(MAX(4-18,0)/הנחות!D9,1))</f>
        <v>0</v>
      </c>
      <c r="F79" s="34">
        <f>IF(5&lt;13,0,הנחות!D7+(הנחות!D8-הנחות!D7)*MIN(MAX(5-18,0)/הנחות!D9,1))</f>
        <v>0</v>
      </c>
      <c r="G79" s="34">
        <f>IF(6&lt;13,0,הנחות!D7+(הנחות!D8-הנחות!D7)*MIN(MAX(6-18,0)/הנחות!D9,1))</f>
        <v>0</v>
      </c>
      <c r="H79" s="34">
        <f>IF(7&lt;13,0,הנחות!D7+(הנחות!D8-הנחות!D7)*MIN(MAX(7-18,0)/הנחות!D9,1))</f>
        <v>0</v>
      </c>
      <c r="I79" s="34">
        <f>IF(8&lt;13,0,הנחות!D7+(הנחות!D8-הנחות!D7)*MIN(MAX(8-18,0)/הנחות!D9,1))</f>
        <v>0</v>
      </c>
      <c r="J79" s="34">
        <f>IF(9&lt;13,0,הנחות!D7+(הנחות!D8-הנחות!D7)*MIN(MAX(9-18,0)/הנחות!D9,1))</f>
        <v>0</v>
      </c>
      <c r="K79" s="34">
        <f>IF(10&lt;13,0,הנחות!D7+(הנחות!D8-הנחות!D7)*MIN(MAX(10-18,0)/הנחות!D9,1))</f>
        <v>0</v>
      </c>
      <c r="L79" s="34">
        <f>IF(11&lt;13,0,הנחות!D7+(הנחות!D8-הנחות!D7)*MIN(MAX(11-18,0)/הנחות!D9,1))</f>
        <v>0</v>
      </c>
      <c r="M79" s="34">
        <f>IF(12&lt;13,0,הנחות!D7+(הנחות!D8-הנחות!D7)*MIN(MAX(12-18,0)/הנחות!D9,1))</f>
        <v>0</v>
      </c>
      <c r="N79" s="34">
        <f>IF(13&lt;13,0,הנחות!D7+(הנחות!D8-הנחות!D7)*MIN(MAX(13-18,0)/הנחות!D9,1))</f>
        <v>20000</v>
      </c>
      <c r="O79" s="34">
        <f>IF(14&lt;13,0,הנחות!D7+(הנחות!D8-הנחות!D7)*MIN(MAX(14-18,0)/הנחות!D9,1))</f>
        <v>20000</v>
      </c>
      <c r="P79" s="34">
        <f>IF(15&lt;13,0,הנחות!D7+(הנחות!D8-הנחות!D7)*MIN(MAX(15-18,0)/הנחות!D9,1))</f>
        <v>20000</v>
      </c>
      <c r="Q79" s="34">
        <f>IF(16&lt;13,0,הנחות!D7+(הנחות!D8-הנחות!D7)*MIN(MAX(16-18,0)/הנחות!D9,1))</f>
        <v>20000</v>
      </c>
      <c r="R79" s="34">
        <f>IF(17&lt;13,0,הנחות!D7+(הנחות!D8-הנחות!D7)*MIN(MAX(17-18,0)/הנחות!D9,1))</f>
        <v>20000</v>
      </c>
      <c r="S79" s="34">
        <f>IF(18&lt;13,0,הנחות!D7+(הנחות!D8-הנחות!D7)*MIN(MAX(18-18,0)/הנחות!D9,1))</f>
        <v>20000</v>
      </c>
      <c r="T79" s="34">
        <f>IF(19&lt;13,0,הנחות!D7+(הנחות!D8-הנחות!D7)*MIN(MAX(19-18,0)/הנחות!D9,1))</f>
        <v>21041.666666666668</v>
      </c>
      <c r="U79" s="34">
        <f>IF(20&lt;13,0,הנחות!D7+(הנחות!D8-הנחות!D7)*MIN(MAX(20-18,0)/הנחות!D9,1))</f>
        <v>22083.333333333332</v>
      </c>
      <c r="V79" s="34">
        <f>IF(21&lt;13,0,הנחות!D7+(הנחות!D8-הנחות!D7)*MIN(MAX(21-18,0)/הנחות!D9,1))</f>
        <v>23125</v>
      </c>
      <c r="W79" s="34">
        <f>IF(22&lt;13,0,הנחות!D7+(הנחות!D8-הנחות!D7)*MIN(MAX(22-18,0)/הנחות!D9,1))</f>
        <v>24166.666666666664</v>
      </c>
      <c r="X79" s="34">
        <f>IF(23&lt;13,0,הנחות!D7+(הנחות!D8-הנחות!D7)*MIN(MAX(23-18,0)/הנחות!D9,1))</f>
        <v>25208.333333333336</v>
      </c>
      <c r="Y79" s="34">
        <f>IF(24&lt;13,0,הנחות!D7+(הנחות!D8-הנחות!D7)*MIN(MAX(24-18,0)/הנחות!D9,1))</f>
        <v>26250</v>
      </c>
      <c r="Z79" s="34">
        <f>IF(25&lt;13,0,הנחות!D7+(הנחות!D8-הנחות!D7)*MIN(MAX(25-18,0)/הנחות!D9,1))</f>
        <v>27291.666666666668</v>
      </c>
      <c r="AA79" s="34">
        <f>IF(26&lt;13,0,הנחות!D7+(הנחות!D8-הנחות!D7)*MIN(MAX(26-18,0)/הנחות!D9,1))</f>
        <v>28333.333333333332</v>
      </c>
      <c r="AB79" s="34">
        <f>IF(27&lt;13,0,הנחות!D7+(הנחות!D8-הנחות!D7)*MIN(MAX(27-18,0)/הנחות!D9,1))</f>
        <v>29375</v>
      </c>
      <c r="AC79" s="34">
        <f>IF(28&lt;13,0,הנחות!D7+(הנחות!D8-הנחות!D7)*MIN(MAX(28-18,0)/הנחות!D9,1))</f>
        <v>30416.666666666668</v>
      </c>
      <c r="AD79" s="34">
        <f>IF(29&lt;13,0,הנחות!D7+(הנחות!D8-הנחות!D7)*MIN(MAX(29-18,0)/הנחות!D9,1))</f>
        <v>31458.333333333332</v>
      </c>
      <c r="AE79" s="34">
        <f>IF(30&lt;13,0,הנחות!D7+(הנחות!D8-הנחות!D7)*MIN(MAX(30-18,0)/הנחות!D9,1))</f>
        <v>32500</v>
      </c>
      <c r="AF79" s="34">
        <f>IF(31&lt;13,0,הנחות!D7+(הנחות!D8-הנחות!D7)*MIN(MAX(31-18,0)/הנחות!D9,1))</f>
        <v>33541.666666666664</v>
      </c>
      <c r="AG79" s="34">
        <f>IF(32&lt;13,0,הנחות!D7+(הנחות!D8-הנחות!D7)*MIN(MAX(32-18,0)/הנחות!D9,1))</f>
        <v>34583.333333333336</v>
      </c>
      <c r="AH79" s="34">
        <f>IF(33&lt;13,0,הנחות!D7+(הנחות!D8-הנחות!D7)*MIN(MAX(33-18,0)/הנחות!D9,1))</f>
        <v>35625</v>
      </c>
      <c r="AI79" s="34">
        <f>IF(34&lt;13,0,הנחות!D7+(הנחות!D8-הנחות!D7)*MIN(MAX(34-18,0)/הנחות!D9,1))</f>
        <v>36666.666666666664</v>
      </c>
      <c r="AJ79" s="34">
        <f>IF(35&lt;13,0,הנחות!D7+(הנחות!D8-הנחות!D7)*MIN(MAX(35-18,0)/הנחות!D9,1))</f>
        <v>37708.333333333336</v>
      </c>
      <c r="AK79" s="34">
        <f>IF(36&lt;13,0,הנחות!D7+(הנחות!D8-הנחות!D7)*MIN(MAX(36-18,0)/הנחות!D9,1))</f>
        <v>38750</v>
      </c>
      <c r="AL79" s="34">
        <f>IF(37&lt;13,0,הנחות!D7+(הנחות!D8-הנחות!D7)*MIN(MAX(37-18,0)/הנחות!D9,1))</f>
        <v>39791.666666666664</v>
      </c>
      <c r="AM79" s="34">
        <f>IF(38&lt;13,0,הנחות!D7+(הנחות!D8-הנחות!D7)*MIN(MAX(38-18,0)/הנחות!D9,1))</f>
        <v>40833.333333333336</v>
      </c>
      <c r="AN79" s="34">
        <f>IF(39&lt;13,0,הנחות!D7+(הנחות!D8-הנחות!D7)*MIN(MAX(39-18,0)/הנחות!D9,1))</f>
        <v>41875</v>
      </c>
      <c r="AO79" s="34">
        <f>IF(40&lt;13,0,הנחות!D7+(הנחות!D8-הנחות!D7)*MIN(MAX(40-18,0)/הנחות!D9,1))</f>
        <v>42916.666666666664</v>
      </c>
      <c r="AP79" s="34">
        <f>IF(41&lt;13,0,הנחות!D7+(הנחות!D8-הנחות!D7)*MIN(MAX(41-18,0)/הנחות!D9,1))</f>
        <v>43958.333333333336</v>
      </c>
      <c r="AQ79" s="34">
        <f>IF(42&lt;13,0,הנחות!D7+(הנחות!D8-הנחות!D7)*MIN(MAX(42-18,0)/הנחות!D9,1))</f>
        <v>45000</v>
      </c>
      <c r="AR79" s="34">
        <f>IF(43&lt;13,0,הנחות!D7+(הנחות!D8-הנחות!D7)*MIN(MAX(43-18,0)/הנחות!D9,1))</f>
        <v>45000</v>
      </c>
      <c r="AS79" s="34">
        <f>IF(44&lt;13,0,הנחות!D7+(הנחות!D8-הנחות!D7)*MIN(MAX(44-18,0)/הנחות!D9,1))</f>
        <v>45000</v>
      </c>
      <c r="AT79" s="34">
        <f>IF(45&lt;13,0,הנחות!D7+(הנחות!D8-הנחות!D7)*MIN(MAX(45-18,0)/הנחות!D9,1))</f>
        <v>45000</v>
      </c>
      <c r="AU79" s="34">
        <f>IF(46&lt;13,0,הנחות!D7+(הנחות!D8-הנחות!D7)*MIN(MAX(46-18,0)/הנחות!D9,1))</f>
        <v>45000</v>
      </c>
      <c r="AV79" s="34">
        <f>IF(47&lt;13,0,הנחות!D7+(הנחות!D8-הנחות!D7)*MIN(MAX(47-18,0)/הנחות!D9,1))</f>
        <v>45000</v>
      </c>
      <c r="AW79" s="34">
        <f>IF(48&lt;13,0,הנחות!D7+(הנחות!D8-הנחות!D7)*MIN(MAX(48-18,0)/הנחות!D9,1))</f>
        <v>45000</v>
      </c>
      <c r="AX79" s="34">
        <f>IF(49&lt;13,0,הנחות!D7+(הנחות!D8-הנחות!D7)*MIN(MAX(49-18,0)/הנחות!D9,1))</f>
        <v>45000</v>
      </c>
      <c r="AY79" s="34">
        <f>IF(50&lt;13,0,הנחות!D7+(הנחות!D8-הנחות!D7)*MIN(MAX(50-18,0)/הנחות!D9,1))</f>
        <v>45000</v>
      </c>
      <c r="AZ79" s="34">
        <f>IF(51&lt;13,0,הנחות!D7+(הנחות!D8-הנחות!D7)*MIN(MAX(51-18,0)/הנחות!D9,1))</f>
        <v>45000</v>
      </c>
      <c r="BA79" s="34">
        <f>IF(52&lt;13,0,הנחות!D7+(הנחות!D8-הנחות!D7)*MIN(MAX(52-18,0)/הנחות!D9,1))</f>
        <v>45000</v>
      </c>
      <c r="BB79" s="34">
        <f>IF(53&lt;13,0,הנחות!D7+(הנחות!D8-הנחות!D7)*MIN(MAX(53-18,0)/הנחות!D9,1))</f>
        <v>45000</v>
      </c>
      <c r="BC79" s="34">
        <f>IF(54&lt;13,0,הנחות!D7+(הנחות!D8-הנחות!D7)*MIN(MAX(54-18,0)/הנחות!D9,1))</f>
        <v>45000</v>
      </c>
      <c r="BD79" s="34">
        <f>IF(55&lt;13,0,הנחות!D7+(הנחות!D8-הנחות!D7)*MIN(MAX(55-18,0)/הנחות!D9,1))</f>
        <v>45000</v>
      </c>
      <c r="BE79" s="34">
        <f>IF(56&lt;13,0,הנחות!D7+(הנחות!D8-הנחות!D7)*MIN(MAX(56-18,0)/הנחות!D9,1))</f>
        <v>45000</v>
      </c>
      <c r="BF79" s="34">
        <f>IF(57&lt;13,0,הנחות!D7+(הנחות!D8-הנחות!D7)*MIN(MAX(57-18,0)/הנחות!D9,1))</f>
        <v>45000</v>
      </c>
      <c r="BG79" s="34">
        <f>IF(58&lt;13,0,הנחות!D7+(הנחות!D8-הנחות!D7)*MIN(MAX(58-18,0)/הנחות!D9,1))</f>
        <v>45000</v>
      </c>
      <c r="BH79" s="34">
        <f>IF(59&lt;13,0,הנחות!D7+(הנחות!D8-הנחות!D7)*MIN(MAX(59-18,0)/הנחות!D9,1))</f>
        <v>45000</v>
      </c>
      <c r="BI79" s="34">
        <f>IF(60&lt;13,0,הנחות!D7+(הנחות!D8-הנחות!D7)*MIN(MAX(60-18,0)/הנחות!D9,1))</f>
        <v>45000</v>
      </c>
    </row>
    <row r="80" spans="1:61" x14ac:dyDescent="0.25">
      <c r="A80" s="31" t="s">
        <v>212</v>
      </c>
      <c r="B80" s="34">
        <f>IF(1&lt;25,0,הנחות!D7+(הנחות!D8-הנחות!D7)*MIN(MAX(1-30,0)/הנחות!D9,1))</f>
        <v>0</v>
      </c>
      <c r="C80" s="34">
        <f>IF(2&lt;25,0,הנחות!D7+(הנחות!D8-הנחות!D7)*MIN(MAX(2-30,0)/הנחות!D9,1))</f>
        <v>0</v>
      </c>
      <c r="D80" s="34">
        <f>IF(3&lt;25,0,הנחות!D7+(הנחות!D8-הנחות!D7)*MIN(MAX(3-30,0)/הנחות!D9,1))</f>
        <v>0</v>
      </c>
      <c r="E80" s="34">
        <f>IF(4&lt;25,0,הנחות!D7+(הנחות!D8-הנחות!D7)*MIN(MAX(4-30,0)/הנחות!D9,1))</f>
        <v>0</v>
      </c>
      <c r="F80" s="34">
        <f>IF(5&lt;25,0,הנחות!D7+(הנחות!D8-הנחות!D7)*MIN(MAX(5-30,0)/הנחות!D9,1))</f>
        <v>0</v>
      </c>
      <c r="G80" s="34">
        <f>IF(6&lt;25,0,הנחות!D7+(הנחות!D8-הנחות!D7)*MIN(MAX(6-30,0)/הנחות!D9,1))</f>
        <v>0</v>
      </c>
      <c r="H80" s="34">
        <f>IF(7&lt;25,0,הנחות!D7+(הנחות!D8-הנחות!D7)*MIN(MAX(7-30,0)/הנחות!D9,1))</f>
        <v>0</v>
      </c>
      <c r="I80" s="34">
        <f>IF(8&lt;25,0,הנחות!D7+(הנחות!D8-הנחות!D7)*MIN(MAX(8-30,0)/הנחות!D9,1))</f>
        <v>0</v>
      </c>
      <c r="J80" s="34">
        <f>IF(9&lt;25,0,הנחות!D7+(הנחות!D8-הנחות!D7)*MIN(MAX(9-30,0)/הנחות!D9,1))</f>
        <v>0</v>
      </c>
      <c r="K80" s="34">
        <f>IF(10&lt;25,0,הנחות!D7+(הנחות!D8-הנחות!D7)*MIN(MAX(10-30,0)/הנחות!D9,1))</f>
        <v>0</v>
      </c>
      <c r="L80" s="34">
        <f>IF(11&lt;25,0,הנחות!D7+(הנחות!D8-הנחות!D7)*MIN(MAX(11-30,0)/הנחות!D9,1))</f>
        <v>0</v>
      </c>
      <c r="M80" s="34">
        <f>IF(12&lt;25,0,הנחות!D7+(הנחות!D8-הנחות!D7)*MIN(MAX(12-30,0)/הנחות!D9,1))</f>
        <v>0</v>
      </c>
      <c r="N80" s="34">
        <f>IF(13&lt;25,0,הנחות!D7+(הנחות!D8-הנחות!D7)*MIN(MAX(13-30,0)/הנחות!D9,1))</f>
        <v>0</v>
      </c>
      <c r="O80" s="34">
        <f>IF(14&lt;25,0,הנחות!D7+(הנחות!D8-הנחות!D7)*MIN(MAX(14-30,0)/הנחות!D9,1))</f>
        <v>0</v>
      </c>
      <c r="P80" s="34">
        <f>IF(15&lt;25,0,הנחות!D7+(הנחות!D8-הנחות!D7)*MIN(MAX(15-30,0)/הנחות!D9,1))</f>
        <v>0</v>
      </c>
      <c r="Q80" s="34">
        <f>IF(16&lt;25,0,הנחות!D7+(הנחות!D8-הנחות!D7)*MIN(MAX(16-30,0)/הנחות!D9,1))</f>
        <v>0</v>
      </c>
      <c r="R80" s="34">
        <f>IF(17&lt;25,0,הנחות!D7+(הנחות!D8-הנחות!D7)*MIN(MAX(17-30,0)/הנחות!D9,1))</f>
        <v>0</v>
      </c>
      <c r="S80" s="34">
        <f>IF(18&lt;25,0,הנחות!D7+(הנחות!D8-הנחות!D7)*MIN(MAX(18-30,0)/הנחות!D9,1))</f>
        <v>0</v>
      </c>
      <c r="T80" s="34">
        <f>IF(19&lt;25,0,הנחות!D7+(הנחות!D8-הנחות!D7)*MIN(MAX(19-30,0)/הנחות!D9,1))</f>
        <v>0</v>
      </c>
      <c r="U80" s="34">
        <f>IF(20&lt;25,0,הנחות!D7+(הנחות!D8-הנחות!D7)*MIN(MAX(20-30,0)/הנחות!D9,1))</f>
        <v>0</v>
      </c>
      <c r="V80" s="34">
        <f>IF(21&lt;25,0,הנחות!D7+(הנחות!D8-הנחות!D7)*MIN(MAX(21-30,0)/הנחות!D9,1))</f>
        <v>0</v>
      </c>
      <c r="W80" s="34">
        <f>IF(22&lt;25,0,הנחות!D7+(הנחות!D8-הנחות!D7)*MIN(MAX(22-30,0)/הנחות!D9,1))</f>
        <v>0</v>
      </c>
      <c r="X80" s="34">
        <f>IF(23&lt;25,0,הנחות!D7+(הנחות!D8-הנחות!D7)*MIN(MAX(23-30,0)/הנחות!D9,1))</f>
        <v>0</v>
      </c>
      <c r="Y80" s="34">
        <f>IF(24&lt;25,0,הנחות!D7+(הנחות!D8-הנחות!D7)*MIN(MAX(24-30,0)/הנחות!D9,1))</f>
        <v>0</v>
      </c>
      <c r="Z80" s="34">
        <f>IF(25&lt;25,0,הנחות!D7+(הנחות!D8-הנחות!D7)*MIN(MAX(25-30,0)/הנחות!D9,1))</f>
        <v>20000</v>
      </c>
      <c r="AA80" s="34">
        <f>IF(26&lt;25,0,הנחות!D7+(הנחות!D8-הנחות!D7)*MIN(MAX(26-30,0)/הנחות!D9,1))</f>
        <v>20000</v>
      </c>
      <c r="AB80" s="34">
        <f>IF(27&lt;25,0,הנחות!D7+(הנחות!D8-הנחות!D7)*MIN(MAX(27-30,0)/הנחות!D9,1))</f>
        <v>20000</v>
      </c>
      <c r="AC80" s="34">
        <f>IF(28&lt;25,0,הנחות!D7+(הנחות!D8-הנחות!D7)*MIN(MAX(28-30,0)/הנחות!D9,1))</f>
        <v>20000</v>
      </c>
      <c r="AD80" s="34">
        <f>IF(29&lt;25,0,הנחות!D7+(הנחות!D8-הנחות!D7)*MIN(MAX(29-30,0)/הנחות!D9,1))</f>
        <v>20000</v>
      </c>
      <c r="AE80" s="34">
        <f>IF(30&lt;25,0,הנחות!D7+(הנחות!D8-הנחות!D7)*MIN(MAX(30-30,0)/הנחות!D9,1))</f>
        <v>20000</v>
      </c>
      <c r="AF80" s="34">
        <f>IF(31&lt;25,0,הנחות!D7+(הנחות!D8-הנחות!D7)*MIN(MAX(31-30,0)/הנחות!D9,1))</f>
        <v>21041.666666666668</v>
      </c>
      <c r="AG80" s="34">
        <f>IF(32&lt;25,0,הנחות!D7+(הנחות!D8-הנחות!D7)*MIN(MAX(32-30,0)/הנחות!D9,1))</f>
        <v>22083.333333333332</v>
      </c>
      <c r="AH80" s="34">
        <f>IF(33&lt;25,0,הנחות!D7+(הנחות!D8-הנחות!D7)*MIN(MAX(33-30,0)/הנחות!D9,1))</f>
        <v>23125</v>
      </c>
      <c r="AI80" s="34">
        <f>IF(34&lt;25,0,הנחות!D7+(הנחות!D8-הנחות!D7)*MIN(MAX(34-30,0)/הנחות!D9,1))</f>
        <v>24166.666666666664</v>
      </c>
      <c r="AJ80" s="34">
        <f>IF(35&lt;25,0,הנחות!D7+(הנחות!D8-הנחות!D7)*MIN(MAX(35-30,0)/הנחות!D9,1))</f>
        <v>25208.333333333336</v>
      </c>
      <c r="AK80" s="34">
        <f>IF(36&lt;25,0,הנחות!D7+(הנחות!D8-הנחות!D7)*MIN(MAX(36-30,0)/הנחות!D9,1))</f>
        <v>26250</v>
      </c>
      <c r="AL80" s="34">
        <f>IF(37&lt;25,0,הנחות!D7+(הנחות!D8-הנחות!D7)*MIN(MAX(37-30,0)/הנחות!D9,1))</f>
        <v>27291.666666666668</v>
      </c>
      <c r="AM80" s="34">
        <f>IF(38&lt;25,0,הנחות!D7+(הנחות!D8-הנחות!D7)*MIN(MAX(38-30,0)/הנחות!D9,1))</f>
        <v>28333.333333333332</v>
      </c>
      <c r="AN80" s="34">
        <f>IF(39&lt;25,0,הנחות!D7+(הנחות!D8-הנחות!D7)*MIN(MAX(39-30,0)/הנחות!D9,1))</f>
        <v>29375</v>
      </c>
      <c r="AO80" s="34">
        <f>IF(40&lt;25,0,הנחות!D7+(הנחות!D8-הנחות!D7)*MIN(MAX(40-30,0)/הנחות!D9,1))</f>
        <v>30416.666666666668</v>
      </c>
      <c r="AP80" s="34">
        <f>IF(41&lt;25,0,הנחות!D7+(הנחות!D8-הנחות!D7)*MIN(MAX(41-30,0)/הנחות!D9,1))</f>
        <v>31458.333333333332</v>
      </c>
      <c r="AQ80" s="34">
        <f>IF(42&lt;25,0,הנחות!D7+(הנחות!D8-הנחות!D7)*MIN(MAX(42-30,0)/הנחות!D9,1))</f>
        <v>32500</v>
      </c>
      <c r="AR80" s="34">
        <f>IF(43&lt;25,0,הנחות!D7+(הנחות!D8-הנחות!D7)*MIN(MAX(43-30,0)/הנחות!D9,1))</f>
        <v>33541.666666666664</v>
      </c>
      <c r="AS80" s="34">
        <f>IF(44&lt;25,0,הנחות!D7+(הנחות!D8-הנחות!D7)*MIN(MAX(44-30,0)/הנחות!D9,1))</f>
        <v>34583.333333333336</v>
      </c>
      <c r="AT80" s="34">
        <f>IF(45&lt;25,0,הנחות!D7+(הנחות!D8-הנחות!D7)*MIN(MAX(45-30,0)/הנחות!D9,1))</f>
        <v>35625</v>
      </c>
      <c r="AU80" s="34">
        <f>IF(46&lt;25,0,הנחות!D7+(הנחות!D8-הנחות!D7)*MIN(MAX(46-30,0)/הנחות!D9,1))</f>
        <v>36666.666666666664</v>
      </c>
      <c r="AV80" s="34">
        <f>IF(47&lt;25,0,הנחות!D7+(הנחות!D8-הנחות!D7)*MIN(MAX(47-30,0)/הנחות!D9,1))</f>
        <v>37708.333333333336</v>
      </c>
      <c r="AW80" s="34">
        <f>IF(48&lt;25,0,הנחות!D7+(הנחות!D8-הנחות!D7)*MIN(MAX(48-30,0)/הנחות!D9,1))</f>
        <v>38750</v>
      </c>
      <c r="AX80" s="34">
        <f>IF(49&lt;25,0,הנחות!D7+(הנחות!D8-הנחות!D7)*MIN(MAX(49-30,0)/הנחות!D9,1))</f>
        <v>39791.666666666664</v>
      </c>
      <c r="AY80" s="34">
        <f>IF(50&lt;25,0,הנחות!D7+(הנחות!D8-הנחות!D7)*MIN(MAX(50-30,0)/הנחות!D9,1))</f>
        <v>40833.333333333336</v>
      </c>
      <c r="AZ80" s="34">
        <f>IF(51&lt;25,0,הנחות!D7+(הנחות!D8-הנחות!D7)*MIN(MAX(51-30,0)/הנחות!D9,1))</f>
        <v>41875</v>
      </c>
      <c r="BA80" s="34">
        <f>IF(52&lt;25,0,הנחות!D7+(הנחות!D8-הנחות!D7)*MIN(MAX(52-30,0)/הנחות!D9,1))</f>
        <v>42916.666666666664</v>
      </c>
      <c r="BB80" s="34">
        <f>IF(53&lt;25,0,הנחות!D7+(הנחות!D8-הנחות!D7)*MIN(MAX(53-30,0)/הנחות!D9,1))</f>
        <v>43958.333333333336</v>
      </c>
      <c r="BC80" s="34">
        <f>IF(54&lt;25,0,הנחות!D7+(הנחות!D8-הנחות!D7)*MIN(MAX(54-30,0)/הנחות!D9,1))</f>
        <v>45000</v>
      </c>
      <c r="BD80" s="34">
        <f>IF(55&lt;25,0,הנחות!D7+(הנחות!D8-הנחות!D7)*MIN(MAX(55-30,0)/הנחות!D9,1))</f>
        <v>45000</v>
      </c>
      <c r="BE80" s="34">
        <f>IF(56&lt;25,0,הנחות!D7+(הנחות!D8-הנחות!D7)*MIN(MAX(56-30,0)/הנחות!D9,1))</f>
        <v>45000</v>
      </c>
      <c r="BF80" s="34">
        <f>IF(57&lt;25,0,הנחות!D7+(הנחות!D8-הנחות!D7)*MIN(MAX(57-30,0)/הנחות!D9,1))</f>
        <v>45000</v>
      </c>
      <c r="BG80" s="34">
        <f>IF(58&lt;25,0,הנחות!D7+(הנחות!D8-הנחות!D7)*MIN(MAX(58-30,0)/הנחות!D9,1))</f>
        <v>45000</v>
      </c>
      <c r="BH80" s="34">
        <f>IF(59&lt;25,0,הנחות!D7+(הנחות!D8-הנחות!D7)*MIN(MAX(59-30,0)/הנחות!D9,1))</f>
        <v>45000</v>
      </c>
      <c r="BI80" s="34">
        <f>IF(60&lt;25,0,הנחות!D7+(הנחות!D8-הנחות!D7)*MIN(MAX(60-30,0)/הנחות!D9,1))</f>
        <v>45000</v>
      </c>
    </row>
    <row r="81" spans="1:61" x14ac:dyDescent="0.25">
      <c r="A81" s="31" t="s">
        <v>213</v>
      </c>
      <c r="B81" s="34">
        <f>IF(1&lt;37,0,הנחות!D7+(הנחות!D8-הנחות!D7)*MIN(MAX(1-42,0)/הנחות!D9,1))</f>
        <v>0</v>
      </c>
      <c r="C81" s="34">
        <f>IF(2&lt;37,0,הנחות!D7+(הנחות!D8-הנחות!D7)*MIN(MAX(2-42,0)/הנחות!D9,1))</f>
        <v>0</v>
      </c>
      <c r="D81" s="34">
        <f>IF(3&lt;37,0,הנחות!D7+(הנחות!D8-הנחות!D7)*MIN(MAX(3-42,0)/הנחות!D9,1))</f>
        <v>0</v>
      </c>
      <c r="E81" s="34">
        <f>IF(4&lt;37,0,הנחות!D7+(הנחות!D8-הנחות!D7)*MIN(MAX(4-42,0)/הנחות!D9,1))</f>
        <v>0</v>
      </c>
      <c r="F81" s="34">
        <f>IF(5&lt;37,0,הנחות!D7+(הנחות!D8-הנחות!D7)*MIN(MAX(5-42,0)/הנחות!D9,1))</f>
        <v>0</v>
      </c>
      <c r="G81" s="34">
        <f>IF(6&lt;37,0,הנחות!D7+(הנחות!D8-הנחות!D7)*MIN(MAX(6-42,0)/הנחות!D9,1))</f>
        <v>0</v>
      </c>
      <c r="H81" s="34">
        <f>IF(7&lt;37,0,הנחות!D7+(הנחות!D8-הנחות!D7)*MIN(MAX(7-42,0)/הנחות!D9,1))</f>
        <v>0</v>
      </c>
      <c r="I81" s="34">
        <f>IF(8&lt;37,0,הנחות!D7+(הנחות!D8-הנחות!D7)*MIN(MAX(8-42,0)/הנחות!D9,1))</f>
        <v>0</v>
      </c>
      <c r="J81" s="34">
        <f>IF(9&lt;37,0,הנחות!D7+(הנחות!D8-הנחות!D7)*MIN(MAX(9-42,0)/הנחות!D9,1))</f>
        <v>0</v>
      </c>
      <c r="K81" s="34">
        <f>IF(10&lt;37,0,הנחות!D7+(הנחות!D8-הנחות!D7)*MIN(MAX(10-42,0)/הנחות!D9,1))</f>
        <v>0</v>
      </c>
      <c r="L81" s="34">
        <f>IF(11&lt;37,0,הנחות!D7+(הנחות!D8-הנחות!D7)*MIN(MAX(11-42,0)/הנחות!D9,1))</f>
        <v>0</v>
      </c>
      <c r="M81" s="34">
        <f>IF(12&lt;37,0,הנחות!D7+(הנחות!D8-הנחות!D7)*MIN(MAX(12-42,0)/הנחות!D9,1))</f>
        <v>0</v>
      </c>
      <c r="N81" s="34">
        <f>IF(13&lt;37,0,הנחות!D7+(הנחות!D8-הנחות!D7)*MIN(MAX(13-42,0)/הנחות!D9,1))</f>
        <v>0</v>
      </c>
      <c r="O81" s="34">
        <f>IF(14&lt;37,0,הנחות!D7+(הנחות!D8-הנחות!D7)*MIN(MAX(14-42,0)/הנחות!D9,1))</f>
        <v>0</v>
      </c>
      <c r="P81" s="34">
        <f>IF(15&lt;37,0,הנחות!D7+(הנחות!D8-הנחות!D7)*MIN(MAX(15-42,0)/הנחות!D9,1))</f>
        <v>0</v>
      </c>
      <c r="Q81" s="34">
        <f>IF(16&lt;37,0,הנחות!D7+(הנחות!D8-הנחות!D7)*MIN(MAX(16-42,0)/הנחות!D9,1))</f>
        <v>0</v>
      </c>
      <c r="R81" s="34">
        <f>IF(17&lt;37,0,הנחות!D7+(הנחות!D8-הנחות!D7)*MIN(MAX(17-42,0)/הנחות!D9,1))</f>
        <v>0</v>
      </c>
      <c r="S81" s="34">
        <f>IF(18&lt;37,0,הנחות!D7+(הנחות!D8-הנחות!D7)*MIN(MAX(18-42,0)/הנחות!D9,1))</f>
        <v>0</v>
      </c>
      <c r="T81" s="34">
        <f>IF(19&lt;37,0,הנחות!D7+(הנחות!D8-הנחות!D7)*MIN(MAX(19-42,0)/הנחות!D9,1))</f>
        <v>0</v>
      </c>
      <c r="U81" s="34">
        <f>IF(20&lt;37,0,הנחות!D7+(הנחות!D8-הנחות!D7)*MIN(MAX(20-42,0)/הנחות!D9,1))</f>
        <v>0</v>
      </c>
      <c r="V81" s="34">
        <f>IF(21&lt;37,0,הנחות!D7+(הנחות!D8-הנחות!D7)*MIN(MAX(21-42,0)/הנחות!D9,1))</f>
        <v>0</v>
      </c>
      <c r="W81" s="34">
        <f>IF(22&lt;37,0,הנחות!D7+(הנחות!D8-הנחות!D7)*MIN(MAX(22-42,0)/הנחות!D9,1))</f>
        <v>0</v>
      </c>
      <c r="X81" s="34">
        <f>IF(23&lt;37,0,הנחות!D7+(הנחות!D8-הנחות!D7)*MIN(MAX(23-42,0)/הנחות!D9,1))</f>
        <v>0</v>
      </c>
      <c r="Y81" s="34">
        <f>IF(24&lt;37,0,הנחות!D7+(הנחות!D8-הנחות!D7)*MIN(MAX(24-42,0)/הנחות!D9,1))</f>
        <v>0</v>
      </c>
      <c r="Z81" s="34">
        <f>IF(25&lt;37,0,הנחות!D7+(הנחות!D8-הנחות!D7)*MIN(MAX(25-42,0)/הנחות!D9,1))</f>
        <v>0</v>
      </c>
      <c r="AA81" s="34">
        <f>IF(26&lt;37,0,הנחות!D7+(הנחות!D8-הנחות!D7)*MIN(MAX(26-42,0)/הנחות!D9,1))</f>
        <v>0</v>
      </c>
      <c r="AB81" s="34">
        <f>IF(27&lt;37,0,הנחות!D7+(הנחות!D8-הנחות!D7)*MIN(MAX(27-42,0)/הנחות!D9,1))</f>
        <v>0</v>
      </c>
      <c r="AC81" s="34">
        <f>IF(28&lt;37,0,הנחות!D7+(הנחות!D8-הנחות!D7)*MIN(MAX(28-42,0)/הנחות!D9,1))</f>
        <v>0</v>
      </c>
      <c r="AD81" s="34">
        <f>IF(29&lt;37,0,הנחות!D7+(הנחות!D8-הנחות!D7)*MIN(MAX(29-42,0)/הנחות!D9,1))</f>
        <v>0</v>
      </c>
      <c r="AE81" s="34">
        <f>IF(30&lt;37,0,הנחות!D7+(הנחות!D8-הנחות!D7)*MIN(MAX(30-42,0)/הנחות!D9,1))</f>
        <v>0</v>
      </c>
      <c r="AF81" s="34">
        <f>IF(31&lt;37,0,הנחות!D7+(הנחות!D8-הנחות!D7)*MIN(MAX(31-42,0)/הנחות!D9,1))</f>
        <v>0</v>
      </c>
      <c r="AG81" s="34">
        <f>IF(32&lt;37,0,הנחות!D7+(הנחות!D8-הנחות!D7)*MIN(MAX(32-42,0)/הנחות!D9,1))</f>
        <v>0</v>
      </c>
      <c r="AH81" s="34">
        <f>IF(33&lt;37,0,הנחות!D7+(הנחות!D8-הנחות!D7)*MIN(MAX(33-42,0)/הנחות!D9,1))</f>
        <v>0</v>
      </c>
      <c r="AI81" s="34">
        <f>IF(34&lt;37,0,הנחות!D7+(הנחות!D8-הנחות!D7)*MIN(MAX(34-42,0)/הנחות!D9,1))</f>
        <v>0</v>
      </c>
      <c r="AJ81" s="34">
        <f>IF(35&lt;37,0,הנחות!D7+(הנחות!D8-הנחות!D7)*MIN(MAX(35-42,0)/הנחות!D9,1))</f>
        <v>0</v>
      </c>
      <c r="AK81" s="34">
        <f>IF(36&lt;37,0,הנחות!D7+(הנחות!D8-הנחות!D7)*MIN(MAX(36-42,0)/הנחות!D9,1))</f>
        <v>0</v>
      </c>
      <c r="AL81" s="34">
        <f>IF(37&lt;37,0,הנחות!D7+(הנחות!D8-הנחות!D7)*MIN(MAX(37-42,0)/הנחות!D9,1))</f>
        <v>20000</v>
      </c>
      <c r="AM81" s="34">
        <f>IF(38&lt;37,0,הנחות!D7+(הנחות!D8-הנחות!D7)*MIN(MAX(38-42,0)/הנחות!D9,1))</f>
        <v>20000</v>
      </c>
      <c r="AN81" s="34">
        <f>IF(39&lt;37,0,הנחות!D7+(הנחות!D8-הנחות!D7)*MIN(MAX(39-42,0)/הנחות!D9,1))</f>
        <v>20000</v>
      </c>
      <c r="AO81" s="34">
        <f>IF(40&lt;37,0,הנחות!D7+(הנחות!D8-הנחות!D7)*MIN(MAX(40-42,0)/הנחות!D9,1))</f>
        <v>20000</v>
      </c>
      <c r="AP81" s="34">
        <f>IF(41&lt;37,0,הנחות!D7+(הנחות!D8-הנחות!D7)*MIN(MAX(41-42,0)/הנחות!D9,1))</f>
        <v>20000</v>
      </c>
      <c r="AQ81" s="34">
        <f>IF(42&lt;37,0,הנחות!D7+(הנחות!D8-הנחות!D7)*MIN(MAX(42-42,0)/הנחות!D9,1))</f>
        <v>20000</v>
      </c>
      <c r="AR81" s="34">
        <f>IF(43&lt;37,0,הנחות!D7+(הנחות!D8-הנחות!D7)*MIN(MAX(43-42,0)/הנחות!D9,1))</f>
        <v>21041.666666666668</v>
      </c>
      <c r="AS81" s="34">
        <f>IF(44&lt;37,0,הנחות!D7+(הנחות!D8-הנחות!D7)*MIN(MAX(44-42,0)/הנחות!D9,1))</f>
        <v>22083.333333333332</v>
      </c>
      <c r="AT81" s="34">
        <f>IF(45&lt;37,0,הנחות!D7+(הנחות!D8-הנחות!D7)*MIN(MAX(45-42,0)/הנחות!D9,1))</f>
        <v>23125</v>
      </c>
      <c r="AU81" s="34">
        <f>IF(46&lt;37,0,הנחות!D7+(הנחות!D8-הנחות!D7)*MIN(MAX(46-42,0)/הנחות!D9,1))</f>
        <v>24166.666666666664</v>
      </c>
      <c r="AV81" s="34">
        <f>IF(47&lt;37,0,הנחות!D7+(הנחות!D8-הנחות!D7)*MIN(MAX(47-42,0)/הנחות!D9,1))</f>
        <v>25208.333333333336</v>
      </c>
      <c r="AW81" s="34">
        <f>IF(48&lt;37,0,הנחות!D7+(הנחות!D8-הנחות!D7)*MIN(MAX(48-42,0)/הנחות!D9,1))</f>
        <v>26250</v>
      </c>
      <c r="AX81" s="34">
        <f>IF(49&lt;37,0,הנחות!D7+(הנחות!D8-הנחות!D7)*MIN(MAX(49-42,0)/הנחות!D9,1))</f>
        <v>27291.666666666668</v>
      </c>
      <c r="AY81" s="34">
        <f>IF(50&lt;37,0,הנחות!D7+(הנחות!D8-הנחות!D7)*MIN(MAX(50-42,0)/הנחות!D9,1))</f>
        <v>28333.333333333332</v>
      </c>
      <c r="AZ81" s="34">
        <f>IF(51&lt;37,0,הנחות!D7+(הנחות!D8-הנחות!D7)*MIN(MAX(51-42,0)/הנחות!D9,1))</f>
        <v>29375</v>
      </c>
      <c r="BA81" s="34">
        <f>IF(52&lt;37,0,הנחות!D7+(הנחות!D8-הנחות!D7)*MIN(MAX(52-42,0)/הנחות!D9,1))</f>
        <v>30416.666666666668</v>
      </c>
      <c r="BB81" s="34">
        <f>IF(53&lt;37,0,הנחות!D7+(הנחות!D8-הנחות!D7)*MIN(MAX(53-42,0)/הנחות!D9,1))</f>
        <v>31458.333333333332</v>
      </c>
      <c r="BC81" s="34">
        <f>IF(54&lt;37,0,הנחות!D7+(הנחות!D8-הנחות!D7)*MIN(MAX(54-42,0)/הנחות!D9,1))</f>
        <v>32500</v>
      </c>
      <c r="BD81" s="34">
        <f>IF(55&lt;37,0,הנחות!D7+(הנחות!D8-הנחות!D7)*MIN(MAX(55-42,0)/הנחות!D9,1))</f>
        <v>33541.666666666664</v>
      </c>
      <c r="BE81" s="34">
        <f>IF(56&lt;37,0,הנחות!D7+(הנחות!D8-הנחות!D7)*MIN(MAX(56-42,0)/הנחות!D9,1))</f>
        <v>34583.333333333336</v>
      </c>
      <c r="BF81" s="34">
        <f>IF(57&lt;37,0,הנחות!D7+(הנחות!D8-הנחות!D7)*MIN(MAX(57-42,0)/הנחות!D9,1))</f>
        <v>35625</v>
      </c>
      <c r="BG81" s="34">
        <f>IF(58&lt;37,0,הנחות!D7+(הנחות!D8-הנחות!D7)*MIN(MAX(58-42,0)/הנחות!D9,1))</f>
        <v>36666.666666666664</v>
      </c>
      <c r="BH81" s="34">
        <f>IF(59&lt;37,0,הנחות!D7+(הנחות!D8-הנחות!D7)*MIN(MAX(59-42,0)/הנחות!D9,1))</f>
        <v>37708.333333333336</v>
      </c>
      <c r="BI81" s="34">
        <f>IF(60&lt;37,0,הנחות!D7+(הנחות!D8-הנחות!D7)*MIN(MAX(60-42,0)/הנחות!D9,1))</f>
        <v>38750</v>
      </c>
    </row>
    <row r="82" spans="1:61" x14ac:dyDescent="0.25">
      <c r="A82" s="31" t="s">
        <v>214</v>
      </c>
      <c r="B82" s="34">
        <f>IF(1&lt;49,0,הנחות!D7+(הנחות!D8-הנחות!D7)*MIN(MAX(1-54,0)/הנחות!D9,1))</f>
        <v>0</v>
      </c>
      <c r="C82" s="34">
        <f>IF(2&lt;49,0,הנחות!D7+(הנחות!D8-הנחות!D7)*MIN(MAX(2-54,0)/הנחות!D9,1))</f>
        <v>0</v>
      </c>
      <c r="D82" s="34">
        <f>IF(3&lt;49,0,הנחות!D7+(הנחות!D8-הנחות!D7)*MIN(MAX(3-54,0)/הנחות!D9,1))</f>
        <v>0</v>
      </c>
      <c r="E82" s="34">
        <f>IF(4&lt;49,0,הנחות!D7+(הנחות!D8-הנחות!D7)*MIN(MAX(4-54,0)/הנחות!D9,1))</f>
        <v>0</v>
      </c>
      <c r="F82" s="34">
        <f>IF(5&lt;49,0,הנחות!D7+(הנחות!D8-הנחות!D7)*MIN(MAX(5-54,0)/הנחות!D9,1))</f>
        <v>0</v>
      </c>
      <c r="G82" s="34">
        <f>IF(6&lt;49,0,הנחות!D7+(הנחות!D8-הנחות!D7)*MIN(MAX(6-54,0)/הנחות!D9,1))</f>
        <v>0</v>
      </c>
      <c r="H82" s="34">
        <f>IF(7&lt;49,0,הנחות!D7+(הנחות!D8-הנחות!D7)*MIN(MAX(7-54,0)/הנחות!D9,1))</f>
        <v>0</v>
      </c>
      <c r="I82" s="34">
        <f>IF(8&lt;49,0,הנחות!D7+(הנחות!D8-הנחות!D7)*MIN(MAX(8-54,0)/הנחות!D9,1))</f>
        <v>0</v>
      </c>
      <c r="J82" s="34">
        <f>IF(9&lt;49,0,הנחות!D7+(הנחות!D8-הנחות!D7)*MIN(MAX(9-54,0)/הנחות!D9,1))</f>
        <v>0</v>
      </c>
      <c r="K82" s="34">
        <f>IF(10&lt;49,0,הנחות!D7+(הנחות!D8-הנחות!D7)*MIN(MAX(10-54,0)/הנחות!D9,1))</f>
        <v>0</v>
      </c>
      <c r="L82" s="34">
        <f>IF(11&lt;49,0,הנחות!D7+(הנחות!D8-הנחות!D7)*MIN(MAX(11-54,0)/הנחות!D9,1))</f>
        <v>0</v>
      </c>
      <c r="M82" s="34">
        <f>IF(12&lt;49,0,הנחות!D7+(הנחות!D8-הנחות!D7)*MIN(MAX(12-54,0)/הנחות!D9,1))</f>
        <v>0</v>
      </c>
      <c r="N82" s="34">
        <f>IF(13&lt;49,0,הנחות!D7+(הנחות!D8-הנחות!D7)*MIN(MAX(13-54,0)/הנחות!D9,1))</f>
        <v>0</v>
      </c>
      <c r="O82" s="34">
        <f>IF(14&lt;49,0,הנחות!D7+(הנחות!D8-הנחות!D7)*MIN(MAX(14-54,0)/הנחות!D9,1))</f>
        <v>0</v>
      </c>
      <c r="P82" s="34">
        <f>IF(15&lt;49,0,הנחות!D7+(הנחות!D8-הנחות!D7)*MIN(MAX(15-54,0)/הנחות!D9,1))</f>
        <v>0</v>
      </c>
      <c r="Q82" s="34">
        <f>IF(16&lt;49,0,הנחות!D7+(הנחות!D8-הנחות!D7)*MIN(MAX(16-54,0)/הנחות!D9,1))</f>
        <v>0</v>
      </c>
      <c r="R82" s="34">
        <f>IF(17&lt;49,0,הנחות!D7+(הנחות!D8-הנחות!D7)*MIN(MAX(17-54,0)/הנחות!D9,1))</f>
        <v>0</v>
      </c>
      <c r="S82" s="34">
        <f>IF(18&lt;49,0,הנחות!D7+(הנחות!D8-הנחות!D7)*MIN(MAX(18-54,0)/הנחות!D9,1))</f>
        <v>0</v>
      </c>
      <c r="T82" s="34">
        <f>IF(19&lt;49,0,הנחות!D7+(הנחות!D8-הנחות!D7)*MIN(MAX(19-54,0)/הנחות!D9,1))</f>
        <v>0</v>
      </c>
      <c r="U82" s="34">
        <f>IF(20&lt;49,0,הנחות!D7+(הנחות!D8-הנחות!D7)*MIN(MAX(20-54,0)/הנחות!D9,1))</f>
        <v>0</v>
      </c>
      <c r="V82" s="34">
        <f>IF(21&lt;49,0,הנחות!D7+(הנחות!D8-הנחות!D7)*MIN(MAX(21-54,0)/הנחות!D9,1))</f>
        <v>0</v>
      </c>
      <c r="W82" s="34">
        <f>IF(22&lt;49,0,הנחות!D7+(הנחות!D8-הנחות!D7)*MIN(MAX(22-54,0)/הנחות!D9,1))</f>
        <v>0</v>
      </c>
      <c r="X82" s="34">
        <f>IF(23&lt;49,0,הנחות!D7+(הנחות!D8-הנחות!D7)*MIN(MAX(23-54,0)/הנחות!D9,1))</f>
        <v>0</v>
      </c>
      <c r="Y82" s="34">
        <f>IF(24&lt;49,0,הנחות!D7+(הנחות!D8-הנחות!D7)*MIN(MAX(24-54,0)/הנחות!D9,1))</f>
        <v>0</v>
      </c>
      <c r="Z82" s="34">
        <f>IF(25&lt;49,0,הנחות!D7+(הנחות!D8-הנחות!D7)*MIN(MAX(25-54,0)/הנחות!D9,1))</f>
        <v>0</v>
      </c>
      <c r="AA82" s="34">
        <f>IF(26&lt;49,0,הנחות!D7+(הנחות!D8-הנחות!D7)*MIN(MAX(26-54,0)/הנחות!D9,1))</f>
        <v>0</v>
      </c>
      <c r="AB82" s="34">
        <f>IF(27&lt;49,0,הנחות!D7+(הנחות!D8-הנחות!D7)*MIN(MAX(27-54,0)/הנחות!D9,1))</f>
        <v>0</v>
      </c>
      <c r="AC82" s="34">
        <f>IF(28&lt;49,0,הנחות!D7+(הנחות!D8-הנחות!D7)*MIN(MAX(28-54,0)/הנחות!D9,1))</f>
        <v>0</v>
      </c>
      <c r="AD82" s="34">
        <f>IF(29&lt;49,0,הנחות!D7+(הנחות!D8-הנחות!D7)*MIN(MAX(29-54,0)/הנחות!D9,1))</f>
        <v>0</v>
      </c>
      <c r="AE82" s="34">
        <f>IF(30&lt;49,0,הנחות!D7+(הנחות!D8-הנחות!D7)*MIN(MAX(30-54,0)/הנחות!D9,1))</f>
        <v>0</v>
      </c>
      <c r="AF82" s="34">
        <f>IF(31&lt;49,0,הנחות!D7+(הנחות!D8-הנחות!D7)*MIN(MAX(31-54,0)/הנחות!D9,1))</f>
        <v>0</v>
      </c>
      <c r="AG82" s="34">
        <f>IF(32&lt;49,0,הנחות!D7+(הנחות!D8-הנחות!D7)*MIN(MAX(32-54,0)/הנחות!D9,1))</f>
        <v>0</v>
      </c>
      <c r="AH82" s="34">
        <f>IF(33&lt;49,0,הנחות!D7+(הנחות!D8-הנחות!D7)*MIN(MAX(33-54,0)/הנחות!D9,1))</f>
        <v>0</v>
      </c>
      <c r="AI82" s="34">
        <f>IF(34&lt;49,0,הנחות!D7+(הנחות!D8-הנחות!D7)*MIN(MAX(34-54,0)/הנחות!D9,1))</f>
        <v>0</v>
      </c>
      <c r="AJ82" s="34">
        <f>IF(35&lt;49,0,הנחות!D7+(הנחות!D8-הנחות!D7)*MIN(MAX(35-54,0)/הנחות!D9,1))</f>
        <v>0</v>
      </c>
      <c r="AK82" s="34">
        <f>IF(36&lt;49,0,הנחות!D7+(הנחות!D8-הנחות!D7)*MIN(MAX(36-54,0)/הנחות!D9,1))</f>
        <v>0</v>
      </c>
      <c r="AL82" s="34">
        <f>IF(37&lt;49,0,הנחות!D7+(הנחות!D8-הנחות!D7)*MIN(MAX(37-54,0)/הנחות!D9,1))</f>
        <v>0</v>
      </c>
      <c r="AM82" s="34">
        <f>IF(38&lt;49,0,הנחות!D7+(הנחות!D8-הנחות!D7)*MIN(MAX(38-54,0)/הנחות!D9,1))</f>
        <v>0</v>
      </c>
      <c r="AN82" s="34">
        <f>IF(39&lt;49,0,הנחות!D7+(הנחות!D8-הנחות!D7)*MIN(MAX(39-54,0)/הנחות!D9,1))</f>
        <v>0</v>
      </c>
      <c r="AO82" s="34">
        <f>IF(40&lt;49,0,הנחות!D7+(הנחות!D8-הנחות!D7)*MIN(MAX(40-54,0)/הנחות!D9,1))</f>
        <v>0</v>
      </c>
      <c r="AP82" s="34">
        <f>IF(41&lt;49,0,הנחות!D7+(הנחות!D8-הנחות!D7)*MIN(MAX(41-54,0)/הנחות!D9,1))</f>
        <v>0</v>
      </c>
      <c r="AQ82" s="34">
        <f>IF(42&lt;49,0,הנחות!D7+(הנחות!D8-הנחות!D7)*MIN(MAX(42-54,0)/הנחות!D9,1))</f>
        <v>0</v>
      </c>
      <c r="AR82" s="34">
        <f>IF(43&lt;49,0,הנחות!D7+(הנחות!D8-הנחות!D7)*MIN(MAX(43-54,0)/הנחות!D9,1))</f>
        <v>0</v>
      </c>
      <c r="AS82" s="34">
        <f>IF(44&lt;49,0,הנחות!D7+(הנחות!D8-הנחות!D7)*MIN(MAX(44-54,0)/הנחות!D9,1))</f>
        <v>0</v>
      </c>
      <c r="AT82" s="34">
        <f>IF(45&lt;49,0,הנחות!D7+(הנחות!D8-הנחות!D7)*MIN(MAX(45-54,0)/הנחות!D9,1))</f>
        <v>0</v>
      </c>
      <c r="AU82" s="34">
        <f>IF(46&lt;49,0,הנחות!D7+(הנחות!D8-הנחות!D7)*MIN(MAX(46-54,0)/הנחות!D9,1))</f>
        <v>0</v>
      </c>
      <c r="AV82" s="34">
        <f>IF(47&lt;49,0,הנחות!D7+(הנחות!D8-הנחות!D7)*MIN(MAX(47-54,0)/הנחות!D9,1))</f>
        <v>0</v>
      </c>
      <c r="AW82" s="34">
        <f>IF(48&lt;49,0,הנחות!D7+(הנחות!D8-הנחות!D7)*MIN(MAX(48-54,0)/הנחות!D9,1))</f>
        <v>0</v>
      </c>
      <c r="AX82" s="34">
        <f>IF(49&lt;49,0,הנחות!D7+(הנחות!D8-הנחות!D7)*MIN(MAX(49-54,0)/הנחות!D9,1))</f>
        <v>20000</v>
      </c>
      <c r="AY82" s="34">
        <f>IF(50&lt;49,0,הנחות!D7+(הנחות!D8-הנחות!D7)*MIN(MAX(50-54,0)/הנחות!D9,1))</f>
        <v>20000</v>
      </c>
      <c r="AZ82" s="34">
        <f>IF(51&lt;49,0,הנחות!D7+(הנחות!D8-הנחות!D7)*MIN(MAX(51-54,0)/הנחות!D9,1))</f>
        <v>20000</v>
      </c>
      <c r="BA82" s="34">
        <f>IF(52&lt;49,0,הנחות!D7+(הנחות!D8-הנחות!D7)*MIN(MAX(52-54,0)/הנחות!D9,1))</f>
        <v>20000</v>
      </c>
      <c r="BB82" s="34">
        <f>IF(53&lt;49,0,הנחות!D7+(הנחות!D8-הנחות!D7)*MIN(MAX(53-54,0)/הנחות!D9,1))</f>
        <v>20000</v>
      </c>
      <c r="BC82" s="34">
        <f>IF(54&lt;49,0,הנחות!D7+(הנחות!D8-הנחות!D7)*MIN(MAX(54-54,0)/הנחות!D9,1))</f>
        <v>20000</v>
      </c>
      <c r="BD82" s="34">
        <f>IF(55&lt;49,0,הנחות!D7+(הנחות!D8-הנחות!D7)*MIN(MAX(55-54,0)/הנחות!D9,1))</f>
        <v>21041.666666666668</v>
      </c>
      <c r="BE82" s="34">
        <f>IF(56&lt;49,0,הנחות!D7+(הנחות!D8-הנחות!D7)*MIN(MAX(56-54,0)/הנחות!D9,1))</f>
        <v>22083.333333333332</v>
      </c>
      <c r="BF82" s="34">
        <f>IF(57&lt;49,0,הנחות!D7+(הנחות!D8-הנחות!D7)*MIN(MAX(57-54,0)/הנחות!D9,1))</f>
        <v>23125</v>
      </c>
      <c r="BG82" s="34">
        <f>IF(58&lt;49,0,הנחות!D7+(הנחות!D8-הנחות!D7)*MIN(MAX(58-54,0)/הנחות!D9,1))</f>
        <v>24166.666666666664</v>
      </c>
      <c r="BH82" s="34">
        <f>IF(59&lt;49,0,הנחות!D7+(הנחות!D8-הנחות!D7)*MIN(MAX(59-54,0)/הנחות!D9,1))</f>
        <v>25208.333333333336</v>
      </c>
      <c r="BI82" s="34">
        <f>IF(60&lt;49,0,הנחות!D7+(הנחות!D8-הנחות!D7)*MIN(MAX(60-54,0)/הנחות!D9,1))</f>
        <v>26250</v>
      </c>
    </row>
    <row r="84" spans="1:61" x14ac:dyDescent="0.25">
      <c r="A84" s="68" t="s">
        <v>215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</row>
    <row r="85" spans="1:61" x14ac:dyDescent="0.25">
      <c r="A85" s="31" t="s">
        <v>216</v>
      </c>
      <c r="B85" s="34">
        <f t="shared" ref="B85:AG85" si="29">B51*B68</f>
        <v>0</v>
      </c>
      <c r="C85" s="34">
        <f t="shared" si="29"/>
        <v>0</v>
      </c>
      <c r="D85" s="34">
        <f t="shared" si="29"/>
        <v>0</v>
      </c>
      <c r="E85" s="34">
        <f t="shared" si="29"/>
        <v>0</v>
      </c>
      <c r="F85" s="34">
        <f t="shared" si="29"/>
        <v>0</v>
      </c>
      <c r="G85" s="34">
        <f t="shared" si="29"/>
        <v>357.14285714285717</v>
      </c>
      <c r="H85" s="34">
        <f t="shared" si="29"/>
        <v>711.42857142857156</v>
      </c>
      <c r="I85" s="34">
        <f t="shared" si="29"/>
        <v>1062.8800000000001</v>
      </c>
      <c r="J85" s="34">
        <f t="shared" si="29"/>
        <v>1411.5198171428574</v>
      </c>
      <c r="K85" s="34">
        <f t="shared" si="29"/>
        <v>2123.4893731961906</v>
      </c>
      <c r="L85" s="34">
        <f t="shared" si="29"/>
        <v>2975.6437457510401</v>
      </c>
      <c r="M85" s="34">
        <f t="shared" si="29"/>
        <v>3966.2896497870324</v>
      </c>
      <c r="N85" s="34">
        <f t="shared" si="29"/>
        <v>4438.9900162539589</v>
      </c>
      <c r="O85" s="34">
        <f t="shared" si="29"/>
        <v>4903.8733343198282</v>
      </c>
      <c r="P85" s="34">
        <f t="shared" si="29"/>
        <v>5361.0344239356027</v>
      </c>
      <c r="Q85" s="34">
        <f t="shared" si="29"/>
        <v>5810.5670882241293</v>
      </c>
      <c r="R85" s="34">
        <f t="shared" si="29"/>
        <v>6252.5641236809061</v>
      </c>
      <c r="S85" s="34">
        <f t="shared" si="29"/>
        <v>6687.1173302767293</v>
      </c>
      <c r="T85" s="34">
        <f t="shared" si="29"/>
        <v>7114.3175214631037</v>
      </c>
      <c r="U85" s="34">
        <f t="shared" si="29"/>
        <v>7534.2545340813576</v>
      </c>
      <c r="V85" s="34">
        <f t="shared" si="29"/>
        <v>7947.0172381763468</v>
      </c>
      <c r="W85" s="34">
        <f t="shared" si="29"/>
        <v>8352.6935467156345</v>
      </c>
      <c r="X85" s="34">
        <f t="shared" si="29"/>
        <v>8751.3704252150528</v>
      </c>
      <c r="Y85" s="34">
        <f t="shared" si="29"/>
        <v>9143.1339012714852</v>
      </c>
      <c r="Z85" s="34">
        <f t="shared" si="29"/>
        <v>9528.0690740038044</v>
      </c>
      <c r="AA85" s="34">
        <f t="shared" si="29"/>
        <v>9906.2601234027243</v>
      </c>
      <c r="AB85" s="34">
        <f t="shared" si="29"/>
        <v>10277.790319590524</v>
      </c>
      <c r="AC85" s="34">
        <f t="shared" si="29"/>
        <v>10642.742031991422</v>
      </c>
      <c r="AD85" s="34">
        <f t="shared" si="29"/>
        <v>11001.196738413455</v>
      </c>
      <c r="AE85" s="34">
        <f t="shared" si="29"/>
        <v>11353.235034042684</v>
      </c>
      <c r="AF85" s="34">
        <f t="shared" si="29"/>
        <v>11698.936640350586</v>
      </c>
      <c r="AG85" s="34">
        <f t="shared" si="29"/>
        <v>12038.380413915385</v>
      </c>
      <c r="AH85" s="34">
        <f t="shared" ref="AH85:BI85" si="30">AH51*AH68</f>
        <v>12371.644355158167</v>
      </c>
      <c r="AI85" s="34">
        <f t="shared" si="30"/>
        <v>12272.671200316901</v>
      </c>
      <c r="AJ85" s="34">
        <f t="shared" si="30"/>
        <v>12174.489830714365</v>
      </c>
      <c r="AK85" s="34">
        <f t="shared" si="30"/>
        <v>12077.093912068651</v>
      </c>
      <c r="AL85" s="34">
        <f t="shared" si="30"/>
        <v>11980.477160772101</v>
      </c>
      <c r="AM85" s="34">
        <f t="shared" si="30"/>
        <v>11884.633343485924</v>
      </c>
      <c r="AN85" s="34">
        <f t="shared" si="30"/>
        <v>11789.556276738036</v>
      </c>
      <c r="AO85" s="34">
        <f t="shared" si="30"/>
        <v>11695.239826524132</v>
      </c>
      <c r="AP85" s="34">
        <f t="shared" si="30"/>
        <v>11601.677907911939</v>
      </c>
      <c r="AQ85" s="34">
        <f t="shared" si="30"/>
        <v>11508.864484648642</v>
      </c>
      <c r="AR85" s="34">
        <f t="shared" si="30"/>
        <v>11416.793568771453</v>
      </c>
      <c r="AS85" s="34">
        <f t="shared" si="30"/>
        <v>11325.459220221281</v>
      </c>
      <c r="AT85" s="34">
        <f t="shared" si="30"/>
        <v>11234.85554645951</v>
      </c>
      <c r="AU85" s="34">
        <f t="shared" si="30"/>
        <v>11144.976702087835</v>
      </c>
      <c r="AV85" s="34">
        <f t="shared" si="30"/>
        <v>11055.816888471132</v>
      </c>
      <c r="AW85" s="34">
        <f t="shared" si="30"/>
        <v>10967.370353363363</v>
      </c>
      <c r="AX85" s="34">
        <f t="shared" si="30"/>
        <v>10879.631390536457</v>
      </c>
      <c r="AY85" s="34">
        <f t="shared" si="30"/>
        <v>10792.594339412164</v>
      </c>
      <c r="AZ85" s="34">
        <f t="shared" si="30"/>
        <v>10706.253584696866</v>
      </c>
      <c r="BA85" s="34">
        <f t="shared" si="30"/>
        <v>10620.60355601929</v>
      </c>
      <c r="BB85" s="34">
        <f t="shared" si="30"/>
        <v>10535.638727571137</v>
      </c>
      <c r="BC85" s="34">
        <f t="shared" si="30"/>
        <v>10451.353617750568</v>
      </c>
      <c r="BD85" s="34">
        <f t="shared" si="30"/>
        <v>10367.742788808564</v>
      </c>
      <c r="BE85" s="34">
        <f t="shared" si="30"/>
        <v>10284.800846498096</v>
      </c>
      <c r="BF85" s="34">
        <f t="shared" si="30"/>
        <v>10202.52243972611</v>
      </c>
      <c r="BG85" s="34">
        <f t="shared" si="30"/>
        <v>10120.902260208302</v>
      </c>
      <c r="BH85" s="34">
        <f t="shared" si="30"/>
        <v>10039.935042126635</v>
      </c>
      <c r="BI85" s="34">
        <f t="shared" si="30"/>
        <v>9959.6155617896238</v>
      </c>
    </row>
    <row r="86" spans="1:61" x14ac:dyDescent="0.25">
      <c r="A86" s="31" t="s">
        <v>217</v>
      </c>
      <c r="B86" s="34">
        <f t="shared" ref="B86:AG86" si="31">B52*B69</f>
        <v>0</v>
      </c>
      <c r="C86" s="34">
        <f t="shared" si="31"/>
        <v>0</v>
      </c>
      <c r="D86" s="34">
        <f t="shared" si="31"/>
        <v>0</v>
      </c>
      <c r="E86" s="34">
        <f t="shared" si="31"/>
        <v>0</v>
      </c>
      <c r="F86" s="34">
        <f t="shared" si="31"/>
        <v>0</v>
      </c>
      <c r="G86" s="34">
        <f t="shared" si="31"/>
        <v>0</v>
      </c>
      <c r="H86" s="34">
        <f t="shared" si="31"/>
        <v>0</v>
      </c>
      <c r="I86" s="34">
        <f t="shared" si="31"/>
        <v>0</v>
      </c>
      <c r="J86" s="34">
        <f t="shared" si="31"/>
        <v>0</v>
      </c>
      <c r="K86" s="34">
        <f t="shared" si="31"/>
        <v>0</v>
      </c>
      <c r="L86" s="34">
        <f t="shared" si="31"/>
        <v>0</v>
      </c>
      <c r="M86" s="34">
        <f t="shared" si="31"/>
        <v>0</v>
      </c>
      <c r="N86" s="34">
        <f t="shared" si="31"/>
        <v>833.33333333333337</v>
      </c>
      <c r="O86" s="34">
        <f t="shared" si="31"/>
        <v>1660.0000000000002</v>
      </c>
      <c r="P86" s="34">
        <f t="shared" si="31"/>
        <v>2480.0533333333337</v>
      </c>
      <c r="Q86" s="34">
        <f t="shared" si="31"/>
        <v>3293.5462400000006</v>
      </c>
      <c r="R86" s="34">
        <f t="shared" si="31"/>
        <v>4100.5312034133331</v>
      </c>
      <c r="S86" s="34">
        <f t="shared" si="31"/>
        <v>4901.0602871193596</v>
      </c>
      <c r="T86" s="34">
        <f t="shared" si="31"/>
        <v>6881.6820419381829</v>
      </c>
      <c r="U86" s="34">
        <f t="shared" si="31"/>
        <v>9184.1890697104191</v>
      </c>
      <c r="V86" s="34">
        <f t="shared" si="31"/>
        <v>11804.693335165393</v>
      </c>
      <c r="W86" s="34">
        <f t="shared" si="31"/>
        <v>14739.34841093929</v>
      </c>
      <c r="X86" s="34">
        <f t="shared" si="31"/>
        <v>17984.349060682915</v>
      </c>
      <c r="Y86" s="34">
        <f t="shared" si="31"/>
        <v>21535.930826176784</v>
      </c>
      <c r="Z86" s="34">
        <f t="shared" si="31"/>
        <v>23341.758507305087</v>
      </c>
      <c r="AA86" s="34">
        <f t="shared" si="31"/>
        <v>25117.314645962459</v>
      </c>
      <c r="AB86" s="34">
        <f t="shared" si="31"/>
        <v>26862.968013856851</v>
      </c>
      <c r="AC86" s="34">
        <f t="shared" si="31"/>
        <v>28579.083419727591</v>
      </c>
      <c r="AD86" s="34">
        <f t="shared" si="31"/>
        <v>30266.021749151507</v>
      </c>
      <c r="AE86" s="34">
        <f t="shared" si="31"/>
        <v>31924.140003965786</v>
      </c>
      <c r="AF86" s="34">
        <f t="shared" si="31"/>
        <v>33553.79134131108</v>
      </c>
      <c r="AG86" s="34">
        <f t="shared" si="31"/>
        <v>35155.325112298611</v>
      </c>
      <c r="AH86" s="34">
        <f t="shared" ref="AH86:BI86" si="32">AH52*AH69</f>
        <v>36729.086900304479</v>
      </c>
      <c r="AI86" s="34">
        <f t="shared" si="32"/>
        <v>38275.418558895071</v>
      </c>
      <c r="AJ86" s="34">
        <f t="shared" si="32"/>
        <v>39794.658249386608</v>
      </c>
      <c r="AK86" s="34">
        <f t="shared" si="32"/>
        <v>41287.1404780425</v>
      </c>
      <c r="AL86" s="34">
        <f t="shared" si="32"/>
        <v>42753.196132911937</v>
      </c>
      <c r="AM86" s="34">
        <f t="shared" si="32"/>
        <v>44193.152520312877</v>
      </c>
      <c r="AN86" s="34">
        <f t="shared" si="32"/>
        <v>45607.333400962882</v>
      </c>
      <c r="AO86" s="34">
        <f t="shared" si="32"/>
        <v>46996.059025761191</v>
      </c>
      <c r="AP86" s="34">
        <f t="shared" si="32"/>
        <v>48359.646171225075</v>
      </c>
      <c r="AQ86" s="34">
        <f t="shared" si="32"/>
        <v>49698.408174583878</v>
      </c>
      <c r="AR86" s="34">
        <f t="shared" si="32"/>
        <v>49300.820909187212</v>
      </c>
      <c r="AS86" s="34">
        <f t="shared" si="32"/>
        <v>48906.414341913704</v>
      </c>
      <c r="AT86" s="34">
        <f t="shared" si="32"/>
        <v>48515.163027178394</v>
      </c>
      <c r="AU86" s="34">
        <f t="shared" si="32"/>
        <v>48127.041722960967</v>
      </c>
      <c r="AV86" s="34">
        <f t="shared" si="32"/>
        <v>47742.025389177274</v>
      </c>
      <c r="AW86" s="34">
        <f t="shared" si="32"/>
        <v>47360.089186063859</v>
      </c>
      <c r="AX86" s="34">
        <f t="shared" si="32"/>
        <v>46981.208472575345</v>
      </c>
      <c r="AY86" s="34">
        <f t="shared" si="32"/>
        <v>46605.358804794749</v>
      </c>
      <c r="AZ86" s="34">
        <f t="shared" si="32"/>
        <v>46232.515934356386</v>
      </c>
      <c r="BA86" s="34">
        <f t="shared" si="32"/>
        <v>45862.655806881536</v>
      </c>
      <c r="BB86" s="34">
        <f t="shared" si="32"/>
        <v>45495.754560426481</v>
      </c>
      <c r="BC86" s="34">
        <f t="shared" si="32"/>
        <v>45131.788523943069</v>
      </c>
      <c r="BD86" s="34">
        <f t="shared" si="32"/>
        <v>44770.734215751523</v>
      </c>
      <c r="BE86" s="34">
        <f t="shared" si="32"/>
        <v>44412.568342025515</v>
      </c>
      <c r="BF86" s="34">
        <f t="shared" si="32"/>
        <v>44057.267795289306</v>
      </c>
      <c r="BG86" s="34">
        <f t="shared" si="32"/>
        <v>43704.809652926997</v>
      </c>
      <c r="BH86" s="34">
        <f t="shared" si="32"/>
        <v>43355.171175703581</v>
      </c>
      <c r="BI86" s="34">
        <f t="shared" si="32"/>
        <v>43008.329806297945</v>
      </c>
    </row>
    <row r="87" spans="1:61" x14ac:dyDescent="0.25">
      <c r="A87" s="31" t="s">
        <v>218</v>
      </c>
      <c r="B87" s="34">
        <f t="shared" ref="B87:AG87" si="33">B53*B70</f>
        <v>0</v>
      </c>
      <c r="C87" s="34">
        <f t="shared" si="33"/>
        <v>0</v>
      </c>
      <c r="D87" s="34">
        <f t="shared" si="33"/>
        <v>0</v>
      </c>
      <c r="E87" s="34">
        <f t="shared" si="33"/>
        <v>0</v>
      </c>
      <c r="F87" s="34">
        <f t="shared" si="33"/>
        <v>0</v>
      </c>
      <c r="G87" s="34">
        <f t="shared" si="33"/>
        <v>0</v>
      </c>
      <c r="H87" s="34">
        <f t="shared" si="33"/>
        <v>0</v>
      </c>
      <c r="I87" s="34">
        <f t="shared" si="33"/>
        <v>0</v>
      </c>
      <c r="J87" s="34">
        <f t="shared" si="33"/>
        <v>0</v>
      </c>
      <c r="K87" s="34">
        <f t="shared" si="33"/>
        <v>0</v>
      </c>
      <c r="L87" s="34">
        <f t="shared" si="33"/>
        <v>0</v>
      </c>
      <c r="M87" s="34">
        <f t="shared" si="33"/>
        <v>0</v>
      </c>
      <c r="N87" s="34">
        <f t="shared" si="33"/>
        <v>0</v>
      </c>
      <c r="O87" s="34">
        <f t="shared" si="33"/>
        <v>0</v>
      </c>
      <c r="P87" s="34">
        <f t="shared" si="33"/>
        <v>0</v>
      </c>
      <c r="Q87" s="34">
        <f t="shared" si="33"/>
        <v>0</v>
      </c>
      <c r="R87" s="34">
        <f t="shared" si="33"/>
        <v>0</v>
      </c>
      <c r="S87" s="34">
        <f t="shared" si="33"/>
        <v>0</v>
      </c>
      <c r="T87" s="34">
        <f t="shared" si="33"/>
        <v>0</v>
      </c>
      <c r="U87" s="34">
        <f t="shared" si="33"/>
        <v>0</v>
      </c>
      <c r="V87" s="34">
        <f t="shared" si="33"/>
        <v>0</v>
      </c>
      <c r="W87" s="34">
        <f t="shared" si="33"/>
        <v>0</v>
      </c>
      <c r="X87" s="34">
        <f t="shared" si="33"/>
        <v>0</v>
      </c>
      <c r="Y87" s="34">
        <f t="shared" si="33"/>
        <v>0</v>
      </c>
      <c r="Z87" s="34">
        <f t="shared" si="33"/>
        <v>833.33333333333337</v>
      </c>
      <c r="AA87" s="34">
        <f t="shared" si="33"/>
        <v>1660.0000000000002</v>
      </c>
      <c r="AB87" s="34">
        <f t="shared" si="33"/>
        <v>2480.0533333333337</v>
      </c>
      <c r="AC87" s="34">
        <f t="shared" si="33"/>
        <v>3293.5462400000006</v>
      </c>
      <c r="AD87" s="34">
        <f t="shared" si="33"/>
        <v>4100.5312034133331</v>
      </c>
      <c r="AE87" s="34">
        <f t="shared" si="33"/>
        <v>4901.0602871193596</v>
      </c>
      <c r="AF87" s="34">
        <f t="shared" si="33"/>
        <v>6881.6820419381829</v>
      </c>
      <c r="AG87" s="34">
        <f t="shared" si="33"/>
        <v>9184.1890697104191</v>
      </c>
      <c r="AH87" s="34">
        <f t="shared" ref="AH87:BI87" si="34">AH53*AH70</f>
        <v>11804.693335165393</v>
      </c>
      <c r="AI87" s="34">
        <f t="shared" si="34"/>
        <v>14739.34841093929</v>
      </c>
      <c r="AJ87" s="34">
        <f t="shared" si="34"/>
        <v>17984.349060682915</v>
      </c>
      <c r="AK87" s="34">
        <f t="shared" si="34"/>
        <v>21535.930826176784</v>
      </c>
      <c r="AL87" s="34">
        <f t="shared" si="34"/>
        <v>23341.758507305087</v>
      </c>
      <c r="AM87" s="34">
        <f t="shared" si="34"/>
        <v>25117.314645962459</v>
      </c>
      <c r="AN87" s="34">
        <f t="shared" si="34"/>
        <v>26862.968013856851</v>
      </c>
      <c r="AO87" s="34">
        <f t="shared" si="34"/>
        <v>28579.083419727591</v>
      </c>
      <c r="AP87" s="34">
        <f t="shared" si="34"/>
        <v>30266.021749151507</v>
      </c>
      <c r="AQ87" s="34">
        <f t="shared" si="34"/>
        <v>31924.140003965786</v>
      </c>
      <c r="AR87" s="34">
        <f t="shared" si="34"/>
        <v>33553.79134131108</v>
      </c>
      <c r="AS87" s="34">
        <f t="shared" si="34"/>
        <v>35155.325112298611</v>
      </c>
      <c r="AT87" s="34">
        <f t="shared" si="34"/>
        <v>36729.086900304479</v>
      </c>
      <c r="AU87" s="34">
        <f t="shared" si="34"/>
        <v>38275.418558895071</v>
      </c>
      <c r="AV87" s="34">
        <f t="shared" si="34"/>
        <v>39794.658249386608</v>
      </c>
      <c r="AW87" s="34">
        <f t="shared" si="34"/>
        <v>41287.1404780425</v>
      </c>
      <c r="AX87" s="34">
        <f t="shared" si="34"/>
        <v>42753.196132911937</v>
      </c>
      <c r="AY87" s="34">
        <f t="shared" si="34"/>
        <v>44193.152520312877</v>
      </c>
      <c r="AZ87" s="34">
        <f t="shared" si="34"/>
        <v>45607.333400962882</v>
      </c>
      <c r="BA87" s="34">
        <f t="shared" si="34"/>
        <v>46996.059025761191</v>
      </c>
      <c r="BB87" s="34">
        <f t="shared" si="34"/>
        <v>48359.646171225075</v>
      </c>
      <c r="BC87" s="34">
        <f t="shared" si="34"/>
        <v>49698.408174583878</v>
      </c>
      <c r="BD87" s="34">
        <f t="shared" si="34"/>
        <v>49300.820909187212</v>
      </c>
      <c r="BE87" s="34">
        <f t="shared" si="34"/>
        <v>48906.414341913704</v>
      </c>
      <c r="BF87" s="34">
        <f t="shared" si="34"/>
        <v>48515.163027178394</v>
      </c>
      <c r="BG87" s="34">
        <f t="shared" si="34"/>
        <v>48127.041722960967</v>
      </c>
      <c r="BH87" s="34">
        <f t="shared" si="34"/>
        <v>47742.025389177274</v>
      </c>
      <c r="BI87" s="34">
        <f t="shared" si="34"/>
        <v>47360.089186063859</v>
      </c>
    </row>
    <row r="88" spans="1:61" x14ac:dyDescent="0.25">
      <c r="A88" s="31" t="s">
        <v>219</v>
      </c>
      <c r="B88" s="34">
        <f t="shared" ref="B88:AG88" si="35">B54*B71</f>
        <v>0</v>
      </c>
      <c r="C88" s="34">
        <f t="shared" si="35"/>
        <v>0</v>
      </c>
      <c r="D88" s="34">
        <f t="shared" si="35"/>
        <v>0</v>
      </c>
      <c r="E88" s="34">
        <f t="shared" si="35"/>
        <v>0</v>
      </c>
      <c r="F88" s="34">
        <f t="shared" si="35"/>
        <v>0</v>
      </c>
      <c r="G88" s="34">
        <f t="shared" si="35"/>
        <v>0</v>
      </c>
      <c r="H88" s="34">
        <f t="shared" si="35"/>
        <v>0</v>
      </c>
      <c r="I88" s="34">
        <f t="shared" si="35"/>
        <v>0</v>
      </c>
      <c r="J88" s="34">
        <f t="shared" si="35"/>
        <v>0</v>
      </c>
      <c r="K88" s="34">
        <f t="shared" si="35"/>
        <v>0</v>
      </c>
      <c r="L88" s="34">
        <f t="shared" si="35"/>
        <v>0</v>
      </c>
      <c r="M88" s="34">
        <f t="shared" si="35"/>
        <v>0</v>
      </c>
      <c r="N88" s="34">
        <f t="shared" si="35"/>
        <v>0</v>
      </c>
      <c r="O88" s="34">
        <f t="shared" si="35"/>
        <v>0</v>
      </c>
      <c r="P88" s="34">
        <f t="shared" si="35"/>
        <v>0</v>
      </c>
      <c r="Q88" s="34">
        <f t="shared" si="35"/>
        <v>0</v>
      </c>
      <c r="R88" s="34">
        <f t="shared" si="35"/>
        <v>0</v>
      </c>
      <c r="S88" s="34">
        <f t="shared" si="35"/>
        <v>0</v>
      </c>
      <c r="T88" s="34">
        <f t="shared" si="35"/>
        <v>0</v>
      </c>
      <c r="U88" s="34">
        <f t="shared" si="35"/>
        <v>0</v>
      </c>
      <c r="V88" s="34">
        <f t="shared" si="35"/>
        <v>0</v>
      </c>
      <c r="W88" s="34">
        <f t="shared" si="35"/>
        <v>0</v>
      </c>
      <c r="X88" s="34">
        <f t="shared" si="35"/>
        <v>0</v>
      </c>
      <c r="Y88" s="34">
        <f t="shared" si="35"/>
        <v>0</v>
      </c>
      <c r="Z88" s="34">
        <f t="shared" si="35"/>
        <v>0</v>
      </c>
      <c r="AA88" s="34">
        <f t="shared" si="35"/>
        <v>0</v>
      </c>
      <c r="AB88" s="34">
        <f t="shared" si="35"/>
        <v>0</v>
      </c>
      <c r="AC88" s="34">
        <f t="shared" si="35"/>
        <v>0</v>
      </c>
      <c r="AD88" s="34">
        <f t="shared" si="35"/>
        <v>0</v>
      </c>
      <c r="AE88" s="34">
        <f t="shared" si="35"/>
        <v>0</v>
      </c>
      <c r="AF88" s="34">
        <f t="shared" si="35"/>
        <v>0</v>
      </c>
      <c r="AG88" s="34">
        <f t="shared" si="35"/>
        <v>0</v>
      </c>
      <c r="AH88" s="34">
        <f t="shared" ref="AH88:BI88" si="36">AH54*AH71</f>
        <v>0</v>
      </c>
      <c r="AI88" s="34">
        <f t="shared" si="36"/>
        <v>0</v>
      </c>
      <c r="AJ88" s="34">
        <f t="shared" si="36"/>
        <v>0</v>
      </c>
      <c r="AK88" s="34">
        <f t="shared" si="36"/>
        <v>0</v>
      </c>
      <c r="AL88" s="34">
        <f t="shared" si="36"/>
        <v>5000</v>
      </c>
      <c r="AM88" s="34">
        <f t="shared" si="36"/>
        <v>9960</v>
      </c>
      <c r="AN88" s="34">
        <f t="shared" si="36"/>
        <v>14880.320000000002</v>
      </c>
      <c r="AO88" s="34">
        <f t="shared" si="36"/>
        <v>19761.277440000002</v>
      </c>
      <c r="AP88" s="34">
        <f t="shared" si="36"/>
        <v>24603.187220479998</v>
      </c>
      <c r="AQ88" s="34">
        <f t="shared" si="36"/>
        <v>29406.361722716159</v>
      </c>
      <c r="AR88" s="34">
        <f t="shared" si="36"/>
        <v>41290.092251629103</v>
      </c>
      <c r="AS88" s="34">
        <f t="shared" si="36"/>
        <v>55105.134418262518</v>
      </c>
      <c r="AT88" s="34">
        <f t="shared" si="36"/>
        <v>70828.160010992375</v>
      </c>
      <c r="AU88" s="34">
        <f t="shared" si="36"/>
        <v>88436.09046563576</v>
      </c>
      <c r="AV88" s="34">
        <f t="shared" si="36"/>
        <v>107906.0943640975</v>
      </c>
      <c r="AW88" s="34">
        <f t="shared" si="36"/>
        <v>129215.58495706071</v>
      </c>
      <c r="AX88" s="34">
        <f t="shared" si="36"/>
        <v>140050.55104383055</v>
      </c>
      <c r="AY88" s="34">
        <f t="shared" si="36"/>
        <v>150703.88787577482</v>
      </c>
      <c r="AZ88" s="34">
        <f t="shared" si="36"/>
        <v>161177.80808314116</v>
      </c>
      <c r="BA88" s="34">
        <f t="shared" si="36"/>
        <v>171474.50051836562</v>
      </c>
      <c r="BB88" s="34">
        <f t="shared" si="36"/>
        <v>181596.13049490913</v>
      </c>
      <c r="BC88" s="34">
        <f t="shared" si="36"/>
        <v>191544.84002379476</v>
      </c>
      <c r="BD88" s="34">
        <f t="shared" si="36"/>
        <v>201322.74804786654</v>
      </c>
      <c r="BE88" s="34">
        <f t="shared" si="36"/>
        <v>210931.95067379173</v>
      </c>
      <c r="BF88" s="34">
        <f t="shared" si="36"/>
        <v>220374.52140182696</v>
      </c>
      <c r="BG88" s="34">
        <f t="shared" si="36"/>
        <v>229652.51135337053</v>
      </c>
      <c r="BH88" s="34">
        <f t="shared" si="36"/>
        <v>238767.94949631975</v>
      </c>
      <c r="BI88" s="34">
        <f t="shared" si="36"/>
        <v>247722.84286825507</v>
      </c>
    </row>
    <row r="89" spans="1:61" x14ac:dyDescent="0.25">
      <c r="A89" s="31" t="s">
        <v>220</v>
      </c>
      <c r="B89" s="34">
        <f t="shared" ref="B89:AG89" si="37">B55*B72</f>
        <v>0</v>
      </c>
      <c r="C89" s="34">
        <f t="shared" si="37"/>
        <v>0</v>
      </c>
      <c r="D89" s="34">
        <f t="shared" si="37"/>
        <v>0</v>
      </c>
      <c r="E89" s="34">
        <f t="shared" si="37"/>
        <v>0</v>
      </c>
      <c r="F89" s="34">
        <f t="shared" si="37"/>
        <v>0</v>
      </c>
      <c r="G89" s="34">
        <f t="shared" si="37"/>
        <v>0</v>
      </c>
      <c r="H89" s="34">
        <f t="shared" si="37"/>
        <v>0</v>
      </c>
      <c r="I89" s="34">
        <f t="shared" si="37"/>
        <v>0</v>
      </c>
      <c r="J89" s="34">
        <f t="shared" si="37"/>
        <v>0</v>
      </c>
      <c r="K89" s="34">
        <f t="shared" si="37"/>
        <v>0</v>
      </c>
      <c r="L89" s="34">
        <f t="shared" si="37"/>
        <v>0</v>
      </c>
      <c r="M89" s="34">
        <f t="shared" si="37"/>
        <v>0</v>
      </c>
      <c r="N89" s="34">
        <f t="shared" si="37"/>
        <v>0</v>
      </c>
      <c r="O89" s="34">
        <f t="shared" si="37"/>
        <v>0</v>
      </c>
      <c r="P89" s="34">
        <f t="shared" si="37"/>
        <v>0</v>
      </c>
      <c r="Q89" s="34">
        <f t="shared" si="37"/>
        <v>0</v>
      </c>
      <c r="R89" s="34">
        <f t="shared" si="37"/>
        <v>0</v>
      </c>
      <c r="S89" s="34">
        <f t="shared" si="37"/>
        <v>0</v>
      </c>
      <c r="T89" s="34">
        <f t="shared" si="37"/>
        <v>0</v>
      </c>
      <c r="U89" s="34">
        <f t="shared" si="37"/>
        <v>0</v>
      </c>
      <c r="V89" s="34">
        <f t="shared" si="37"/>
        <v>0</v>
      </c>
      <c r="W89" s="34">
        <f t="shared" si="37"/>
        <v>0</v>
      </c>
      <c r="X89" s="34">
        <f t="shared" si="37"/>
        <v>0</v>
      </c>
      <c r="Y89" s="34">
        <f t="shared" si="37"/>
        <v>0</v>
      </c>
      <c r="Z89" s="34">
        <f t="shared" si="37"/>
        <v>0</v>
      </c>
      <c r="AA89" s="34">
        <f t="shared" si="37"/>
        <v>0</v>
      </c>
      <c r="AB89" s="34">
        <f t="shared" si="37"/>
        <v>0</v>
      </c>
      <c r="AC89" s="34">
        <f t="shared" si="37"/>
        <v>0</v>
      </c>
      <c r="AD89" s="34">
        <f t="shared" si="37"/>
        <v>0</v>
      </c>
      <c r="AE89" s="34">
        <f t="shared" si="37"/>
        <v>0</v>
      </c>
      <c r="AF89" s="34">
        <f t="shared" si="37"/>
        <v>0</v>
      </c>
      <c r="AG89" s="34">
        <f t="shared" si="37"/>
        <v>0</v>
      </c>
      <c r="AH89" s="34">
        <f t="shared" ref="AH89:BI89" si="38">AH55*AH72</f>
        <v>0</v>
      </c>
      <c r="AI89" s="34">
        <f t="shared" si="38"/>
        <v>0</v>
      </c>
      <c r="AJ89" s="34">
        <f t="shared" si="38"/>
        <v>0</v>
      </c>
      <c r="AK89" s="34">
        <f t="shared" si="38"/>
        <v>0</v>
      </c>
      <c r="AL89" s="34">
        <f t="shared" si="38"/>
        <v>0</v>
      </c>
      <c r="AM89" s="34">
        <f t="shared" si="38"/>
        <v>0</v>
      </c>
      <c r="AN89" s="34">
        <f t="shared" si="38"/>
        <v>0</v>
      </c>
      <c r="AO89" s="34">
        <f t="shared" si="38"/>
        <v>0</v>
      </c>
      <c r="AP89" s="34">
        <f t="shared" si="38"/>
        <v>0</v>
      </c>
      <c r="AQ89" s="34">
        <f t="shared" si="38"/>
        <v>0</v>
      </c>
      <c r="AR89" s="34">
        <f t="shared" si="38"/>
        <v>0</v>
      </c>
      <c r="AS89" s="34">
        <f t="shared" si="38"/>
        <v>0</v>
      </c>
      <c r="AT89" s="34">
        <f t="shared" si="38"/>
        <v>0</v>
      </c>
      <c r="AU89" s="34">
        <f t="shared" si="38"/>
        <v>0</v>
      </c>
      <c r="AV89" s="34">
        <f t="shared" si="38"/>
        <v>0</v>
      </c>
      <c r="AW89" s="34">
        <f t="shared" si="38"/>
        <v>0</v>
      </c>
      <c r="AX89" s="34">
        <f t="shared" si="38"/>
        <v>5000</v>
      </c>
      <c r="AY89" s="34">
        <f t="shared" si="38"/>
        <v>9960</v>
      </c>
      <c r="AZ89" s="34">
        <f t="shared" si="38"/>
        <v>14880.320000000002</v>
      </c>
      <c r="BA89" s="34">
        <f t="shared" si="38"/>
        <v>19761.277440000002</v>
      </c>
      <c r="BB89" s="34">
        <f t="shared" si="38"/>
        <v>24603.187220479998</v>
      </c>
      <c r="BC89" s="34">
        <f t="shared" si="38"/>
        <v>29406.361722716159</v>
      </c>
      <c r="BD89" s="34">
        <f t="shared" si="38"/>
        <v>41290.092251629103</v>
      </c>
      <c r="BE89" s="34">
        <f t="shared" si="38"/>
        <v>55105.134418262518</v>
      </c>
      <c r="BF89" s="34">
        <f t="shared" si="38"/>
        <v>70828.160010992375</v>
      </c>
      <c r="BG89" s="34">
        <f t="shared" si="38"/>
        <v>88436.09046563576</v>
      </c>
      <c r="BH89" s="34">
        <f t="shared" si="38"/>
        <v>107906.0943640975</v>
      </c>
      <c r="BI89" s="34">
        <f t="shared" si="38"/>
        <v>129215.58495706071</v>
      </c>
    </row>
    <row r="90" spans="1:61" x14ac:dyDescent="0.25">
      <c r="A90" s="31" t="s">
        <v>221</v>
      </c>
      <c r="B90" s="34">
        <f t="shared" ref="B90:AG90" si="39">B56*B73</f>
        <v>0</v>
      </c>
      <c r="C90" s="34">
        <f t="shared" si="39"/>
        <v>0</v>
      </c>
      <c r="D90" s="34">
        <f t="shared" si="39"/>
        <v>0</v>
      </c>
      <c r="E90" s="34">
        <f t="shared" si="39"/>
        <v>0</v>
      </c>
      <c r="F90" s="34">
        <f t="shared" si="39"/>
        <v>0</v>
      </c>
      <c r="G90" s="34">
        <f t="shared" si="39"/>
        <v>2857.1428571428573</v>
      </c>
      <c r="H90" s="34">
        <f t="shared" si="39"/>
        <v>5702.8571428571431</v>
      </c>
      <c r="I90" s="34">
        <f t="shared" si="39"/>
        <v>8537.1885714285709</v>
      </c>
      <c r="J90" s="34">
        <f t="shared" si="39"/>
        <v>11360.182674285714</v>
      </c>
      <c r="K90" s="34">
        <f t="shared" si="39"/>
        <v>15825.271360816763</v>
      </c>
      <c r="L90" s="34">
        <f t="shared" si="39"/>
        <v>20932.552813028007</v>
      </c>
      <c r="M90" s="34">
        <f t="shared" si="39"/>
        <v>26678.151380708368</v>
      </c>
      <c r="N90" s="34">
        <f t="shared" si="39"/>
        <v>28867.735953287985</v>
      </c>
      <c r="O90" s="34">
        <f t="shared" si="39"/>
        <v>31039.376998864878</v>
      </c>
      <c r="P90" s="34">
        <f t="shared" si="39"/>
        <v>33193.183032301902</v>
      </c>
      <c r="Q90" s="34">
        <f t="shared" si="39"/>
        <v>35329.261987439437</v>
      </c>
      <c r="R90" s="34">
        <f t="shared" si="39"/>
        <v>37447.721220007377</v>
      </c>
      <c r="S90" s="34">
        <f t="shared" si="39"/>
        <v>39548.667510522959</v>
      </c>
      <c r="T90" s="34">
        <f t="shared" si="39"/>
        <v>41632.207067174895</v>
      </c>
      <c r="U90" s="34">
        <f t="shared" si="39"/>
        <v>43698.445528693446</v>
      </c>
      <c r="V90" s="34">
        <f t="shared" si="39"/>
        <v>45747.487967206791</v>
      </c>
      <c r="W90" s="34">
        <f t="shared" si="39"/>
        <v>47779.438891083562</v>
      </c>
      <c r="X90" s="34">
        <f t="shared" si="39"/>
        <v>49794.402247761835</v>
      </c>
      <c r="Y90" s="34">
        <f t="shared" si="39"/>
        <v>51792.481426564438</v>
      </c>
      <c r="Z90" s="34">
        <f t="shared" si="39"/>
        <v>53773.779261500655</v>
      </c>
      <c r="AA90" s="34">
        <f t="shared" si="39"/>
        <v>55738.398034054546</v>
      </c>
      <c r="AB90" s="34">
        <f t="shared" si="39"/>
        <v>57686.439475959836</v>
      </c>
      <c r="AC90" s="34">
        <f t="shared" si="39"/>
        <v>59618.004771961321</v>
      </c>
      <c r="AD90" s="34">
        <f t="shared" si="39"/>
        <v>61533.194562563192</v>
      </c>
      <c r="AE90" s="34">
        <f t="shared" si="39"/>
        <v>63432.108946763896</v>
      </c>
      <c r="AF90" s="34">
        <f t="shared" si="39"/>
        <v>65314.84748477798</v>
      </c>
      <c r="AG90" s="34">
        <f t="shared" si="39"/>
        <v>67181.509200744811</v>
      </c>
      <c r="AH90" s="34">
        <f t="shared" ref="AH90:BI90" si="40">AH56*AH73</f>
        <v>69032.192585424156</v>
      </c>
      <c r="AI90" s="34">
        <f t="shared" si="40"/>
        <v>70866.995598878857</v>
      </c>
      <c r="AJ90" s="34">
        <f t="shared" si="40"/>
        <v>72686.015673144546</v>
      </c>
      <c r="AK90" s="34">
        <f t="shared" si="40"/>
        <v>74489.349714886528</v>
      </c>
      <c r="AL90" s="34">
        <f t="shared" si="40"/>
        <v>76277.094108043791</v>
      </c>
      <c r="AM90" s="34">
        <f t="shared" si="40"/>
        <v>78049.3447164604</v>
      </c>
      <c r="AN90" s="34">
        <f t="shared" si="40"/>
        <v>79806.196886503909</v>
      </c>
      <c r="AO90" s="34">
        <f t="shared" si="40"/>
        <v>79486.972098957893</v>
      </c>
      <c r="AP90" s="34">
        <f t="shared" si="40"/>
        <v>79169.024210562056</v>
      </c>
      <c r="AQ90" s="34">
        <f t="shared" si="40"/>
        <v>78852.34811371981</v>
      </c>
      <c r="AR90" s="34">
        <f t="shared" si="40"/>
        <v>78536.938721264931</v>
      </c>
      <c r="AS90" s="34">
        <f t="shared" si="40"/>
        <v>78222.790966379878</v>
      </c>
      <c r="AT90" s="34">
        <f t="shared" si="40"/>
        <v>77909.899802514366</v>
      </c>
      <c r="AU90" s="34">
        <f t="shared" si="40"/>
        <v>77598.260203304308</v>
      </c>
      <c r="AV90" s="34">
        <f t="shared" si="40"/>
        <v>77287.867162491093</v>
      </c>
      <c r="AW90" s="34">
        <f t="shared" si="40"/>
        <v>76978.715693841121</v>
      </c>
      <c r="AX90" s="34">
        <f t="shared" si="40"/>
        <v>76670.800831065761</v>
      </c>
      <c r="AY90" s="34">
        <f t="shared" si="40"/>
        <v>76364.117627741507</v>
      </c>
      <c r="AZ90" s="34">
        <f t="shared" si="40"/>
        <v>76058.661157230526</v>
      </c>
      <c r="BA90" s="34">
        <f t="shared" si="40"/>
        <v>75754.426512601611</v>
      </c>
      <c r="BB90" s="34">
        <f t="shared" si="40"/>
        <v>75451.408806551204</v>
      </c>
      <c r="BC90" s="34">
        <f t="shared" si="40"/>
        <v>75149.603171324998</v>
      </c>
      <c r="BD90" s="34">
        <f t="shared" si="40"/>
        <v>74849.004758639698</v>
      </c>
      <c r="BE90" s="34">
        <f t="shared" si="40"/>
        <v>74549.60873960513</v>
      </c>
      <c r="BF90" s="34">
        <f t="shared" si="40"/>
        <v>74251.410304646706</v>
      </c>
      <c r="BG90" s="34">
        <f t="shared" si="40"/>
        <v>73954.404663428126</v>
      </c>
      <c r="BH90" s="34">
        <f t="shared" si="40"/>
        <v>73658.587044774409</v>
      </c>
      <c r="BI90" s="34">
        <f t="shared" si="40"/>
        <v>73363.952696595312</v>
      </c>
    </row>
    <row r="91" spans="1:61" x14ac:dyDescent="0.25">
      <c r="A91" s="31" t="s">
        <v>222</v>
      </c>
      <c r="B91" s="34">
        <f t="shared" ref="B91:AG91" si="41">B57*B74</f>
        <v>0</v>
      </c>
      <c r="C91" s="34">
        <f t="shared" si="41"/>
        <v>0</v>
      </c>
      <c r="D91" s="34">
        <f t="shared" si="41"/>
        <v>0</v>
      </c>
      <c r="E91" s="34">
        <f t="shared" si="41"/>
        <v>0</v>
      </c>
      <c r="F91" s="34">
        <f t="shared" si="41"/>
        <v>0</v>
      </c>
      <c r="G91" s="34">
        <f t="shared" si="41"/>
        <v>0</v>
      </c>
      <c r="H91" s="34">
        <f t="shared" si="41"/>
        <v>0</v>
      </c>
      <c r="I91" s="34">
        <f t="shared" si="41"/>
        <v>0</v>
      </c>
      <c r="J91" s="34">
        <f t="shared" si="41"/>
        <v>0</v>
      </c>
      <c r="K91" s="34">
        <f t="shared" si="41"/>
        <v>0</v>
      </c>
      <c r="L91" s="34">
        <f t="shared" si="41"/>
        <v>0</v>
      </c>
      <c r="M91" s="34">
        <f t="shared" si="41"/>
        <v>0</v>
      </c>
      <c r="N91" s="34">
        <f t="shared" si="41"/>
        <v>8333.3333333333339</v>
      </c>
      <c r="O91" s="34">
        <f t="shared" si="41"/>
        <v>16633.333333333332</v>
      </c>
      <c r="P91" s="34">
        <f t="shared" si="41"/>
        <v>24900.133333333335</v>
      </c>
      <c r="Q91" s="34">
        <f t="shared" si="41"/>
        <v>33133.866133333337</v>
      </c>
      <c r="R91" s="34">
        <f t="shared" si="41"/>
        <v>41334.664002133337</v>
      </c>
      <c r="S91" s="34">
        <f t="shared" si="41"/>
        <v>49502.658679458138</v>
      </c>
      <c r="T91" s="34">
        <f t="shared" si="41"/>
        <v>64362.412538848905</v>
      </c>
      <c r="U91" s="34">
        <f t="shared" si="41"/>
        <v>81080.27410260342</v>
      </c>
      <c r="V91" s="34">
        <f t="shared" si="41"/>
        <v>99645.029641913978</v>
      </c>
      <c r="W91" s="34">
        <f t="shared" si="41"/>
        <v>120045.52540807996</v>
      </c>
      <c r="X91" s="34">
        <f t="shared" si="41"/>
        <v>142270.66733208677</v>
      </c>
      <c r="Y91" s="34">
        <f t="shared" si="41"/>
        <v>166309.42072562833</v>
      </c>
      <c r="Z91" s="34">
        <f t="shared" si="41"/>
        <v>177011.92109467756</v>
      </c>
      <c r="AA91" s="34">
        <f t="shared" si="41"/>
        <v>187626.14051004284</v>
      </c>
      <c r="AB91" s="34">
        <f t="shared" si="41"/>
        <v>198152.61397934763</v>
      </c>
      <c r="AC91" s="34">
        <f t="shared" si="41"/>
        <v>208591.87364264982</v>
      </c>
      <c r="AD91" s="34">
        <f t="shared" si="41"/>
        <v>218944.44878682194</v>
      </c>
      <c r="AE91" s="34">
        <f t="shared" si="41"/>
        <v>229210.86585986245</v>
      </c>
      <c r="AF91" s="34">
        <f t="shared" si="41"/>
        <v>239391.64848513805</v>
      </c>
      <c r="AG91" s="34">
        <f t="shared" si="41"/>
        <v>249487.31747555756</v>
      </c>
      <c r="AH91" s="34">
        <f t="shared" ref="AH91:BI91" si="42">AH57*AH74</f>
        <v>259498.39084767809</v>
      </c>
      <c r="AI91" s="34">
        <f t="shared" si="42"/>
        <v>269425.38383574202</v>
      </c>
      <c r="AJ91" s="34">
        <f t="shared" si="42"/>
        <v>279268.80890564778</v>
      </c>
      <c r="AK91" s="34">
        <f t="shared" si="42"/>
        <v>289029.17576885299</v>
      </c>
      <c r="AL91" s="34">
        <f t="shared" si="42"/>
        <v>298706.99139621004</v>
      </c>
      <c r="AM91" s="34">
        <f t="shared" si="42"/>
        <v>308302.76003173593</v>
      </c>
      <c r="AN91" s="34">
        <f t="shared" si="42"/>
        <v>317816.98320631532</v>
      </c>
      <c r="AO91" s="34">
        <f t="shared" si="42"/>
        <v>327250.15975133755</v>
      </c>
      <c r="AP91" s="34">
        <f t="shared" si="42"/>
        <v>336602.78581226832</v>
      </c>
      <c r="AQ91" s="34">
        <f t="shared" si="42"/>
        <v>345875.35486215563</v>
      </c>
      <c r="AR91" s="34">
        <f t="shared" si="42"/>
        <v>355068.35771507083</v>
      </c>
      <c r="AS91" s="34">
        <f t="shared" si="42"/>
        <v>364182.28253948485</v>
      </c>
      <c r="AT91" s="34">
        <f t="shared" si="42"/>
        <v>373217.61487158015</v>
      </c>
      <c r="AU91" s="34">
        <f t="shared" si="42"/>
        <v>382174.83762849803</v>
      </c>
      <c r="AV91" s="34">
        <f t="shared" si="42"/>
        <v>391054.43112152279</v>
      </c>
      <c r="AW91" s="34">
        <f t="shared" si="42"/>
        <v>399856.87306920107</v>
      </c>
      <c r="AX91" s="34">
        <f t="shared" si="42"/>
        <v>398257.44557692431</v>
      </c>
      <c r="AY91" s="34">
        <f t="shared" si="42"/>
        <v>396664.41579461662</v>
      </c>
      <c r="AZ91" s="34">
        <f t="shared" si="42"/>
        <v>395077.75813143817</v>
      </c>
      <c r="BA91" s="34">
        <f t="shared" si="42"/>
        <v>393497.44709891244</v>
      </c>
      <c r="BB91" s="34">
        <f t="shared" si="42"/>
        <v>391923.45731051679</v>
      </c>
      <c r="BC91" s="34">
        <f t="shared" si="42"/>
        <v>390355.76348127477</v>
      </c>
      <c r="BD91" s="34">
        <f t="shared" si="42"/>
        <v>388794.34042734961</v>
      </c>
      <c r="BE91" s="34">
        <f t="shared" si="42"/>
        <v>387239.1630656402</v>
      </c>
      <c r="BF91" s="34">
        <f t="shared" si="42"/>
        <v>385690.20641337766</v>
      </c>
      <c r="BG91" s="34">
        <f t="shared" si="42"/>
        <v>384147.44558772416</v>
      </c>
      <c r="BH91" s="34">
        <f t="shared" si="42"/>
        <v>382610.85580537323</v>
      </c>
      <c r="BI91" s="34">
        <f t="shared" si="42"/>
        <v>381080.41238215176</v>
      </c>
    </row>
    <row r="92" spans="1:61" x14ac:dyDescent="0.25">
      <c r="A92" s="31" t="s">
        <v>223</v>
      </c>
      <c r="B92" s="34">
        <f t="shared" ref="B92:AG92" si="43">B58*B75</f>
        <v>0</v>
      </c>
      <c r="C92" s="34">
        <f t="shared" si="43"/>
        <v>0</v>
      </c>
      <c r="D92" s="34">
        <f t="shared" si="43"/>
        <v>0</v>
      </c>
      <c r="E92" s="34">
        <f t="shared" si="43"/>
        <v>0</v>
      </c>
      <c r="F92" s="34">
        <f t="shared" si="43"/>
        <v>0</v>
      </c>
      <c r="G92" s="34">
        <f t="shared" si="43"/>
        <v>0</v>
      </c>
      <c r="H92" s="34">
        <f t="shared" si="43"/>
        <v>0</v>
      </c>
      <c r="I92" s="34">
        <f t="shared" si="43"/>
        <v>0</v>
      </c>
      <c r="J92" s="34">
        <f t="shared" si="43"/>
        <v>0</v>
      </c>
      <c r="K92" s="34">
        <f t="shared" si="43"/>
        <v>0</v>
      </c>
      <c r="L92" s="34">
        <f t="shared" si="43"/>
        <v>0</v>
      </c>
      <c r="M92" s="34">
        <f t="shared" si="43"/>
        <v>0</v>
      </c>
      <c r="N92" s="34">
        <f t="shared" si="43"/>
        <v>0</v>
      </c>
      <c r="O92" s="34">
        <f t="shared" si="43"/>
        <v>0</v>
      </c>
      <c r="P92" s="34">
        <f t="shared" si="43"/>
        <v>0</v>
      </c>
      <c r="Q92" s="34">
        <f t="shared" si="43"/>
        <v>0</v>
      </c>
      <c r="R92" s="34">
        <f t="shared" si="43"/>
        <v>0</v>
      </c>
      <c r="S92" s="34">
        <f t="shared" si="43"/>
        <v>0</v>
      </c>
      <c r="T92" s="34">
        <f t="shared" si="43"/>
        <v>0</v>
      </c>
      <c r="U92" s="34">
        <f t="shared" si="43"/>
        <v>0</v>
      </c>
      <c r="V92" s="34">
        <f t="shared" si="43"/>
        <v>0</v>
      </c>
      <c r="W92" s="34">
        <f t="shared" si="43"/>
        <v>0</v>
      </c>
      <c r="X92" s="34">
        <f t="shared" si="43"/>
        <v>0</v>
      </c>
      <c r="Y92" s="34">
        <f t="shared" si="43"/>
        <v>0</v>
      </c>
      <c r="Z92" s="34">
        <f t="shared" si="43"/>
        <v>10000</v>
      </c>
      <c r="AA92" s="34">
        <f t="shared" si="43"/>
        <v>19960</v>
      </c>
      <c r="AB92" s="34">
        <f t="shared" si="43"/>
        <v>29880.16</v>
      </c>
      <c r="AC92" s="34">
        <f t="shared" si="43"/>
        <v>39760.639360000001</v>
      </c>
      <c r="AD92" s="34">
        <f t="shared" si="43"/>
        <v>49601.596802559994</v>
      </c>
      <c r="AE92" s="34">
        <f t="shared" si="43"/>
        <v>59403.190415349753</v>
      </c>
      <c r="AF92" s="34">
        <f t="shared" si="43"/>
        <v>77234.89504661868</v>
      </c>
      <c r="AG92" s="34">
        <f t="shared" si="43"/>
        <v>97296.328923124107</v>
      </c>
      <c r="AH92" s="34">
        <f t="shared" ref="AH92:BI92" si="44">AH58*AH75</f>
        <v>119574.03557029676</v>
      </c>
      <c r="AI92" s="34">
        <f t="shared" si="44"/>
        <v>144054.63048969596</v>
      </c>
      <c r="AJ92" s="34">
        <f t="shared" si="44"/>
        <v>170724.80079850412</v>
      </c>
      <c r="AK92" s="34">
        <f t="shared" si="44"/>
        <v>199571.30487075401</v>
      </c>
      <c r="AL92" s="34">
        <f t="shared" si="44"/>
        <v>212414.30531361312</v>
      </c>
      <c r="AM92" s="34">
        <f t="shared" si="44"/>
        <v>225151.36861205145</v>
      </c>
      <c r="AN92" s="34">
        <f t="shared" si="44"/>
        <v>237783.13677521722</v>
      </c>
      <c r="AO92" s="34">
        <f t="shared" si="44"/>
        <v>250310.24837117988</v>
      </c>
      <c r="AP92" s="34">
        <f t="shared" si="44"/>
        <v>262733.33854418644</v>
      </c>
      <c r="AQ92" s="34">
        <f t="shared" si="44"/>
        <v>275053.03903183498</v>
      </c>
      <c r="AR92" s="34">
        <f t="shared" si="44"/>
        <v>287269.97818216571</v>
      </c>
      <c r="AS92" s="34">
        <f t="shared" si="44"/>
        <v>299384.78097066918</v>
      </c>
      <c r="AT92" s="34">
        <f t="shared" si="44"/>
        <v>311398.06901721377</v>
      </c>
      <c r="AU92" s="34">
        <f t="shared" si="44"/>
        <v>323310.46060289047</v>
      </c>
      <c r="AV92" s="34">
        <f t="shared" si="44"/>
        <v>335122.57068677741</v>
      </c>
      <c r="AW92" s="34">
        <f t="shared" si="44"/>
        <v>346835.01092262368</v>
      </c>
      <c r="AX92" s="34">
        <f t="shared" si="44"/>
        <v>358448.38967545214</v>
      </c>
      <c r="AY92" s="34">
        <f t="shared" si="44"/>
        <v>369963.31203808321</v>
      </c>
      <c r="AZ92" s="34">
        <f t="shared" si="44"/>
        <v>381380.37984757847</v>
      </c>
      <c r="BA92" s="34">
        <f t="shared" si="44"/>
        <v>392700.19170160516</v>
      </c>
      <c r="BB92" s="34">
        <f t="shared" si="44"/>
        <v>403923.34297472209</v>
      </c>
      <c r="BC92" s="34">
        <f t="shared" si="44"/>
        <v>415050.42583458684</v>
      </c>
      <c r="BD92" s="34">
        <f t="shared" si="44"/>
        <v>426082.02925808507</v>
      </c>
      <c r="BE92" s="34">
        <f t="shared" si="44"/>
        <v>437018.73904738191</v>
      </c>
      <c r="BF92" s="34">
        <f t="shared" si="44"/>
        <v>447861.1378458963</v>
      </c>
      <c r="BG92" s="34">
        <f t="shared" si="44"/>
        <v>458609.80515419773</v>
      </c>
      <c r="BH92" s="34">
        <f t="shared" si="44"/>
        <v>469265.31734582741</v>
      </c>
      <c r="BI92" s="34">
        <f t="shared" si="44"/>
        <v>479828.24768304138</v>
      </c>
    </row>
    <row r="93" spans="1:61" x14ac:dyDescent="0.25">
      <c r="A93" s="31" t="s">
        <v>224</v>
      </c>
      <c r="B93" s="34">
        <f t="shared" ref="B93:AG93" si="45">B59*B76</f>
        <v>0</v>
      </c>
      <c r="C93" s="34">
        <f t="shared" si="45"/>
        <v>0</v>
      </c>
      <c r="D93" s="34">
        <f t="shared" si="45"/>
        <v>0</v>
      </c>
      <c r="E93" s="34">
        <f t="shared" si="45"/>
        <v>0</v>
      </c>
      <c r="F93" s="34">
        <f t="shared" si="45"/>
        <v>0</v>
      </c>
      <c r="G93" s="34">
        <f t="shared" si="45"/>
        <v>0</v>
      </c>
      <c r="H93" s="34">
        <f t="shared" si="45"/>
        <v>0</v>
      </c>
      <c r="I93" s="34">
        <f t="shared" si="45"/>
        <v>0</v>
      </c>
      <c r="J93" s="34">
        <f t="shared" si="45"/>
        <v>0</v>
      </c>
      <c r="K93" s="34">
        <f t="shared" si="45"/>
        <v>0</v>
      </c>
      <c r="L93" s="34">
        <f t="shared" si="45"/>
        <v>0</v>
      </c>
      <c r="M93" s="34">
        <f t="shared" si="45"/>
        <v>0</v>
      </c>
      <c r="N93" s="34">
        <f t="shared" si="45"/>
        <v>0</v>
      </c>
      <c r="O93" s="34">
        <f t="shared" si="45"/>
        <v>0</v>
      </c>
      <c r="P93" s="34">
        <f t="shared" si="45"/>
        <v>0</v>
      </c>
      <c r="Q93" s="34">
        <f t="shared" si="45"/>
        <v>0</v>
      </c>
      <c r="R93" s="34">
        <f t="shared" si="45"/>
        <v>0</v>
      </c>
      <c r="S93" s="34">
        <f t="shared" si="45"/>
        <v>0</v>
      </c>
      <c r="T93" s="34">
        <f t="shared" si="45"/>
        <v>0</v>
      </c>
      <c r="U93" s="34">
        <f t="shared" si="45"/>
        <v>0</v>
      </c>
      <c r="V93" s="34">
        <f t="shared" si="45"/>
        <v>0</v>
      </c>
      <c r="W93" s="34">
        <f t="shared" si="45"/>
        <v>0</v>
      </c>
      <c r="X93" s="34">
        <f t="shared" si="45"/>
        <v>0</v>
      </c>
      <c r="Y93" s="34">
        <f t="shared" si="45"/>
        <v>0</v>
      </c>
      <c r="Z93" s="34">
        <f t="shared" si="45"/>
        <v>0</v>
      </c>
      <c r="AA93" s="34">
        <f t="shared" si="45"/>
        <v>0</v>
      </c>
      <c r="AB93" s="34">
        <f t="shared" si="45"/>
        <v>0</v>
      </c>
      <c r="AC93" s="34">
        <f t="shared" si="45"/>
        <v>0</v>
      </c>
      <c r="AD93" s="34">
        <f t="shared" si="45"/>
        <v>0</v>
      </c>
      <c r="AE93" s="34">
        <f t="shared" si="45"/>
        <v>0</v>
      </c>
      <c r="AF93" s="34">
        <f t="shared" si="45"/>
        <v>0</v>
      </c>
      <c r="AG93" s="34">
        <f t="shared" si="45"/>
        <v>0</v>
      </c>
      <c r="AH93" s="34">
        <f t="shared" ref="AH93:BI93" si="46">AH59*AH76</f>
        <v>0</v>
      </c>
      <c r="AI93" s="34">
        <f t="shared" si="46"/>
        <v>0</v>
      </c>
      <c r="AJ93" s="34">
        <f t="shared" si="46"/>
        <v>0</v>
      </c>
      <c r="AK93" s="34">
        <f t="shared" si="46"/>
        <v>0</v>
      </c>
      <c r="AL93" s="34">
        <f t="shared" si="46"/>
        <v>3333.3333333333335</v>
      </c>
      <c r="AM93" s="34">
        <f t="shared" si="46"/>
        <v>6653.3333333333339</v>
      </c>
      <c r="AN93" s="34">
        <f t="shared" si="46"/>
        <v>9960.0533333333351</v>
      </c>
      <c r="AO93" s="34">
        <f t="shared" si="46"/>
        <v>13253.546453333336</v>
      </c>
      <c r="AP93" s="34">
        <f t="shared" si="46"/>
        <v>16533.865600853336</v>
      </c>
      <c r="AQ93" s="34">
        <f t="shared" si="46"/>
        <v>19801.063471783254</v>
      </c>
      <c r="AR93" s="34">
        <f t="shared" si="46"/>
        <v>25744.965015539557</v>
      </c>
      <c r="AS93" s="34">
        <f t="shared" si="46"/>
        <v>32432.109641041367</v>
      </c>
      <c r="AT93" s="34">
        <f t="shared" si="46"/>
        <v>39858.011856765588</v>
      </c>
      <c r="AU93" s="34">
        <f t="shared" si="46"/>
        <v>48018.210163231975</v>
      </c>
      <c r="AV93" s="34">
        <f t="shared" si="46"/>
        <v>56908.266932834711</v>
      </c>
      <c r="AW93" s="34">
        <f t="shared" si="46"/>
        <v>66523.768290251348</v>
      </c>
      <c r="AX93" s="34">
        <f t="shared" si="46"/>
        <v>70804.76843787104</v>
      </c>
      <c r="AY93" s="34">
        <f t="shared" si="46"/>
        <v>75050.456204017159</v>
      </c>
      <c r="AZ93" s="34">
        <f t="shared" si="46"/>
        <v>79261.045591739079</v>
      </c>
      <c r="BA93" s="34">
        <f t="shared" si="46"/>
        <v>83436.749457059967</v>
      </c>
      <c r="BB93" s="34">
        <f t="shared" si="46"/>
        <v>87577.779514728813</v>
      </c>
      <c r="BC93" s="34">
        <f t="shared" si="46"/>
        <v>91684.346343945013</v>
      </c>
      <c r="BD93" s="34">
        <f t="shared" si="46"/>
        <v>95756.659394055256</v>
      </c>
      <c r="BE93" s="34">
        <f t="shared" si="46"/>
        <v>99794.926990223074</v>
      </c>
      <c r="BF93" s="34">
        <f t="shared" si="46"/>
        <v>103799.35633907128</v>
      </c>
      <c r="BG93" s="34">
        <f t="shared" si="46"/>
        <v>107770.15353429686</v>
      </c>
      <c r="BH93" s="34">
        <f t="shared" si="46"/>
        <v>111707.52356225917</v>
      </c>
      <c r="BI93" s="34">
        <f t="shared" si="46"/>
        <v>115611.67030754128</v>
      </c>
    </row>
    <row r="94" spans="1:61" x14ac:dyDescent="0.25">
      <c r="A94" s="31" t="s">
        <v>225</v>
      </c>
      <c r="B94" s="34">
        <f t="shared" ref="B94:AG94" si="47">B60*B77</f>
        <v>0</v>
      </c>
      <c r="C94" s="34">
        <f t="shared" si="47"/>
        <v>0</v>
      </c>
      <c r="D94" s="34">
        <f t="shared" si="47"/>
        <v>0</v>
      </c>
      <c r="E94" s="34">
        <f t="shared" si="47"/>
        <v>0</v>
      </c>
      <c r="F94" s="34">
        <f t="shared" si="47"/>
        <v>0</v>
      </c>
      <c r="G94" s="34">
        <f t="shared" si="47"/>
        <v>0</v>
      </c>
      <c r="H94" s="34">
        <f t="shared" si="47"/>
        <v>0</v>
      </c>
      <c r="I94" s="34">
        <f t="shared" si="47"/>
        <v>0</v>
      </c>
      <c r="J94" s="34">
        <f t="shared" si="47"/>
        <v>0</v>
      </c>
      <c r="K94" s="34">
        <f t="shared" si="47"/>
        <v>0</v>
      </c>
      <c r="L94" s="34">
        <f t="shared" si="47"/>
        <v>0</v>
      </c>
      <c r="M94" s="34">
        <f t="shared" si="47"/>
        <v>0</v>
      </c>
      <c r="N94" s="34">
        <f t="shared" si="47"/>
        <v>0</v>
      </c>
      <c r="O94" s="34">
        <f t="shared" si="47"/>
        <v>0</v>
      </c>
      <c r="P94" s="34">
        <f t="shared" si="47"/>
        <v>0</v>
      </c>
      <c r="Q94" s="34">
        <f t="shared" si="47"/>
        <v>0</v>
      </c>
      <c r="R94" s="34">
        <f t="shared" si="47"/>
        <v>0</v>
      </c>
      <c r="S94" s="34">
        <f t="shared" si="47"/>
        <v>0</v>
      </c>
      <c r="T94" s="34">
        <f t="shared" si="47"/>
        <v>0</v>
      </c>
      <c r="U94" s="34">
        <f t="shared" si="47"/>
        <v>0</v>
      </c>
      <c r="V94" s="34">
        <f t="shared" si="47"/>
        <v>0</v>
      </c>
      <c r="W94" s="34">
        <f t="shared" si="47"/>
        <v>0</v>
      </c>
      <c r="X94" s="34">
        <f t="shared" si="47"/>
        <v>0</v>
      </c>
      <c r="Y94" s="34">
        <f t="shared" si="47"/>
        <v>0</v>
      </c>
      <c r="Z94" s="34">
        <f t="shared" si="47"/>
        <v>0</v>
      </c>
      <c r="AA94" s="34">
        <f t="shared" si="47"/>
        <v>0</v>
      </c>
      <c r="AB94" s="34">
        <f t="shared" si="47"/>
        <v>0</v>
      </c>
      <c r="AC94" s="34">
        <f t="shared" si="47"/>
        <v>0</v>
      </c>
      <c r="AD94" s="34">
        <f t="shared" si="47"/>
        <v>0</v>
      </c>
      <c r="AE94" s="34">
        <f t="shared" si="47"/>
        <v>0</v>
      </c>
      <c r="AF94" s="34">
        <f t="shared" si="47"/>
        <v>0</v>
      </c>
      <c r="AG94" s="34">
        <f t="shared" si="47"/>
        <v>0</v>
      </c>
      <c r="AH94" s="34">
        <f t="shared" ref="AH94:BI94" si="48">AH60*AH77</f>
        <v>0</v>
      </c>
      <c r="AI94" s="34">
        <f t="shared" si="48"/>
        <v>0</v>
      </c>
      <c r="AJ94" s="34">
        <f t="shared" si="48"/>
        <v>0</v>
      </c>
      <c r="AK94" s="34">
        <f t="shared" si="48"/>
        <v>0</v>
      </c>
      <c r="AL94" s="34">
        <f t="shared" si="48"/>
        <v>0</v>
      </c>
      <c r="AM94" s="34">
        <f t="shared" si="48"/>
        <v>0</v>
      </c>
      <c r="AN94" s="34">
        <f t="shared" si="48"/>
        <v>0</v>
      </c>
      <c r="AO94" s="34">
        <f t="shared" si="48"/>
        <v>0</v>
      </c>
      <c r="AP94" s="34">
        <f t="shared" si="48"/>
        <v>0</v>
      </c>
      <c r="AQ94" s="34">
        <f t="shared" si="48"/>
        <v>0</v>
      </c>
      <c r="AR94" s="34">
        <f t="shared" si="48"/>
        <v>0</v>
      </c>
      <c r="AS94" s="34">
        <f t="shared" si="48"/>
        <v>0</v>
      </c>
      <c r="AT94" s="34">
        <f t="shared" si="48"/>
        <v>0</v>
      </c>
      <c r="AU94" s="34">
        <f t="shared" si="48"/>
        <v>0</v>
      </c>
      <c r="AV94" s="34">
        <f t="shared" si="48"/>
        <v>0</v>
      </c>
      <c r="AW94" s="34">
        <f t="shared" si="48"/>
        <v>0</v>
      </c>
      <c r="AX94" s="34">
        <f t="shared" si="48"/>
        <v>1666.6666666666667</v>
      </c>
      <c r="AY94" s="34">
        <f t="shared" si="48"/>
        <v>3326.666666666667</v>
      </c>
      <c r="AZ94" s="34">
        <f t="shared" si="48"/>
        <v>4980.0266666666676</v>
      </c>
      <c r="BA94" s="34">
        <f t="shared" si="48"/>
        <v>6626.7732266666681</v>
      </c>
      <c r="BB94" s="34">
        <f t="shared" si="48"/>
        <v>8266.9328004266681</v>
      </c>
      <c r="BC94" s="34">
        <f t="shared" si="48"/>
        <v>9900.5317358916272</v>
      </c>
      <c r="BD94" s="34">
        <f t="shared" si="48"/>
        <v>12872.482507769779</v>
      </c>
      <c r="BE94" s="34">
        <f t="shared" si="48"/>
        <v>16216.054820520683</v>
      </c>
      <c r="BF94" s="34">
        <f t="shared" si="48"/>
        <v>19929.005928382794</v>
      </c>
      <c r="BG94" s="34">
        <f t="shared" si="48"/>
        <v>24009.105081615988</v>
      </c>
      <c r="BH94" s="34">
        <f t="shared" si="48"/>
        <v>28454.133466417356</v>
      </c>
      <c r="BI94" s="34">
        <f t="shared" si="48"/>
        <v>33261.884145125674</v>
      </c>
    </row>
    <row r="95" spans="1:61" x14ac:dyDescent="0.25">
      <c r="A95" s="31" t="s">
        <v>226</v>
      </c>
      <c r="B95" s="34">
        <f t="shared" ref="B95:AG95" si="49">B61*B78</f>
        <v>0</v>
      </c>
      <c r="C95" s="34">
        <f t="shared" si="49"/>
        <v>0</v>
      </c>
      <c r="D95" s="34">
        <f t="shared" si="49"/>
        <v>0</v>
      </c>
      <c r="E95" s="34">
        <f t="shared" si="49"/>
        <v>0</v>
      </c>
      <c r="F95" s="34">
        <f t="shared" si="49"/>
        <v>0</v>
      </c>
      <c r="G95" s="34">
        <f t="shared" si="49"/>
        <v>2857.1428571428569</v>
      </c>
      <c r="H95" s="34">
        <f t="shared" si="49"/>
        <v>5708.5714285714284</v>
      </c>
      <c r="I95" s="34">
        <f t="shared" si="49"/>
        <v>8554.2971428571418</v>
      </c>
      <c r="J95" s="34">
        <f t="shared" si="49"/>
        <v>11394.331405714287</v>
      </c>
      <c r="K95" s="34">
        <f t="shared" si="49"/>
        <v>14969.762975048096</v>
      </c>
      <c r="L95" s="34">
        <f t="shared" si="49"/>
        <v>18834.180574112277</v>
      </c>
      <c r="M95" s="34">
        <f t="shared" si="49"/>
        <v>22986.711576109254</v>
      </c>
      <c r="N95" s="34">
        <f t="shared" si="49"/>
        <v>23974.104736423567</v>
      </c>
      <c r="O95" s="34">
        <f t="shared" si="49"/>
        <v>24957.456377250328</v>
      </c>
      <c r="P95" s="34">
        <f t="shared" si="49"/>
        <v>25936.778715094824</v>
      </c>
      <c r="Q95" s="34">
        <f t="shared" si="49"/>
        <v>26912.083933762442</v>
      </c>
      <c r="R95" s="34">
        <f t="shared" si="49"/>
        <v>27883.384184440521</v>
      </c>
      <c r="S95" s="34">
        <f t="shared" si="49"/>
        <v>28850.691585780161</v>
      </c>
      <c r="T95" s="34">
        <f t="shared" si="49"/>
        <v>29814.018223977702</v>
      </c>
      <c r="U95" s="34">
        <f t="shared" si="49"/>
        <v>30773.376152856104</v>
      </c>
      <c r="V95" s="34">
        <f t="shared" si="49"/>
        <v>31728.7773939461</v>
      </c>
      <c r="W95" s="34">
        <f t="shared" si="49"/>
        <v>32680.233936567125</v>
      </c>
      <c r="X95" s="34">
        <f t="shared" si="49"/>
        <v>33627.757737908098</v>
      </c>
      <c r="Y95" s="34">
        <f t="shared" si="49"/>
        <v>34571.360723107944</v>
      </c>
      <c r="Z95" s="34">
        <f t="shared" si="49"/>
        <v>35511.054785336048</v>
      </c>
      <c r="AA95" s="34">
        <f t="shared" si="49"/>
        <v>36446.85178587235</v>
      </c>
      <c r="AB95" s="34">
        <f t="shared" si="49"/>
        <v>37378.763554187361</v>
      </c>
      <c r="AC95" s="34">
        <f t="shared" si="49"/>
        <v>38306.801888021968</v>
      </c>
      <c r="AD95" s="34">
        <f t="shared" si="49"/>
        <v>39230.978553467023</v>
      </c>
      <c r="AE95" s="34">
        <f t="shared" si="49"/>
        <v>40151.305285042741</v>
      </c>
      <c r="AF95" s="34">
        <f t="shared" si="49"/>
        <v>41067.793785777947</v>
      </c>
      <c r="AG95" s="34">
        <f t="shared" si="49"/>
        <v>41980.455727289074</v>
      </c>
      <c r="AH95" s="34">
        <f t="shared" ref="AH95:BI95" si="50">AH61*AH78</f>
        <v>42889.302749859009</v>
      </c>
      <c r="AI95" s="34">
        <f t="shared" si="50"/>
        <v>42803.524144359289</v>
      </c>
      <c r="AJ95" s="34">
        <f t="shared" si="50"/>
        <v>42717.917096070574</v>
      </c>
      <c r="AK95" s="34">
        <f t="shared" si="50"/>
        <v>42632.481261878427</v>
      </c>
      <c r="AL95" s="34">
        <f t="shared" si="50"/>
        <v>42547.216299354666</v>
      </c>
      <c r="AM95" s="34">
        <f t="shared" si="50"/>
        <v>42462.121866755959</v>
      </c>
      <c r="AN95" s="34">
        <f t="shared" si="50"/>
        <v>42377.197623022446</v>
      </c>
      <c r="AO95" s="34">
        <f t="shared" si="50"/>
        <v>42292.443227776406</v>
      </c>
      <c r="AP95" s="34">
        <f t="shared" si="50"/>
        <v>42207.858341320854</v>
      </c>
      <c r="AQ95" s="34">
        <f t="shared" si="50"/>
        <v>42123.442624638206</v>
      </c>
      <c r="AR95" s="34">
        <f t="shared" si="50"/>
        <v>42039.195739388932</v>
      </c>
      <c r="AS95" s="34">
        <f t="shared" si="50"/>
        <v>41955.117347910156</v>
      </c>
      <c r="AT95" s="34">
        <f t="shared" si="50"/>
        <v>41871.207113214332</v>
      </c>
      <c r="AU95" s="34">
        <f t="shared" si="50"/>
        <v>41787.464698987904</v>
      </c>
      <c r="AV95" s="34">
        <f t="shared" si="50"/>
        <v>41703.889769589929</v>
      </c>
      <c r="AW95" s="34">
        <f t="shared" si="50"/>
        <v>41620.48199005075</v>
      </c>
      <c r="AX95" s="34">
        <f t="shared" si="50"/>
        <v>41537.241026070646</v>
      </c>
      <c r="AY95" s="34">
        <f t="shared" si="50"/>
        <v>41454.16654401851</v>
      </c>
      <c r="AZ95" s="34">
        <f t="shared" si="50"/>
        <v>41371.258210930471</v>
      </c>
      <c r="BA95" s="34">
        <f t="shared" si="50"/>
        <v>41288.515694508606</v>
      </c>
      <c r="BB95" s="34">
        <f t="shared" si="50"/>
        <v>41205.938663119588</v>
      </c>
      <c r="BC95" s="34">
        <f t="shared" si="50"/>
        <v>41123.52678579335</v>
      </c>
      <c r="BD95" s="34">
        <f t="shared" si="50"/>
        <v>41041.279732221767</v>
      </c>
      <c r="BE95" s="34">
        <f t="shared" si="50"/>
        <v>40959.197172757318</v>
      </c>
      <c r="BF95" s="34">
        <f t="shared" si="50"/>
        <v>40877.278778411805</v>
      </c>
      <c r="BG95" s="34">
        <f t="shared" si="50"/>
        <v>40795.524220854983</v>
      </c>
      <c r="BH95" s="34">
        <f t="shared" si="50"/>
        <v>40713.933172413272</v>
      </c>
      <c r="BI95" s="34">
        <f t="shared" si="50"/>
        <v>40632.505306068451</v>
      </c>
    </row>
    <row r="96" spans="1:61" x14ac:dyDescent="0.25">
      <c r="A96" s="31" t="s">
        <v>227</v>
      </c>
      <c r="B96" s="34">
        <f t="shared" ref="B96:AG96" si="51">B62*B79</f>
        <v>0</v>
      </c>
      <c r="C96" s="34">
        <f t="shared" si="51"/>
        <v>0</v>
      </c>
      <c r="D96" s="34">
        <f t="shared" si="51"/>
        <v>0</v>
      </c>
      <c r="E96" s="34">
        <f t="shared" si="51"/>
        <v>0</v>
      </c>
      <c r="F96" s="34">
        <f t="shared" si="51"/>
        <v>0</v>
      </c>
      <c r="G96" s="34">
        <f t="shared" si="51"/>
        <v>0</v>
      </c>
      <c r="H96" s="34">
        <f t="shared" si="51"/>
        <v>0</v>
      </c>
      <c r="I96" s="34">
        <f t="shared" si="51"/>
        <v>0</v>
      </c>
      <c r="J96" s="34">
        <f t="shared" si="51"/>
        <v>0</v>
      </c>
      <c r="K96" s="34">
        <f t="shared" si="51"/>
        <v>0</v>
      </c>
      <c r="L96" s="34">
        <f t="shared" si="51"/>
        <v>0</v>
      </c>
      <c r="M96" s="34">
        <f t="shared" si="51"/>
        <v>0</v>
      </c>
      <c r="N96" s="34">
        <f t="shared" si="51"/>
        <v>5000</v>
      </c>
      <c r="O96" s="34">
        <f t="shared" si="51"/>
        <v>9990</v>
      </c>
      <c r="P96" s="34">
        <f t="shared" si="51"/>
        <v>14970.019999999999</v>
      </c>
      <c r="Q96" s="34">
        <f t="shared" si="51"/>
        <v>19940.079959999999</v>
      </c>
      <c r="R96" s="34">
        <f t="shared" si="51"/>
        <v>24900.199800079998</v>
      </c>
      <c r="S96" s="34">
        <f t="shared" si="51"/>
        <v>29850.399400479841</v>
      </c>
      <c r="T96" s="34">
        <f t="shared" si="51"/>
        <v>36602.714153849658</v>
      </c>
      <c r="U96" s="34">
        <f t="shared" si="51"/>
        <v>43858.73357994172</v>
      </c>
      <c r="V96" s="34">
        <f t="shared" si="51"/>
        <v>51616.936684139473</v>
      </c>
      <c r="W96" s="34">
        <f t="shared" si="51"/>
        <v>59875.806540986108</v>
      </c>
      <c r="X96" s="34">
        <f t="shared" si="51"/>
        <v>68633.830283991963</v>
      </c>
      <c r="Y96" s="34">
        <f t="shared" si="51"/>
        <v>77889.499095466294</v>
      </c>
      <c r="Z96" s="34">
        <f t="shared" si="51"/>
        <v>80818.391529706918</v>
      </c>
      <c r="AA96" s="34">
        <f t="shared" si="51"/>
        <v>83735.256836214205</v>
      </c>
      <c r="AB96" s="34">
        <f t="shared" si="51"/>
        <v>86640.131407929337</v>
      </c>
      <c r="AC96" s="34">
        <f t="shared" si="51"/>
        <v>89533.051540330271</v>
      </c>
      <c r="AD96" s="34">
        <f t="shared" si="51"/>
        <v>92414.053431675959</v>
      </c>
      <c r="AE96" s="34">
        <f t="shared" si="51"/>
        <v>95283.17318325011</v>
      </c>
      <c r="AF96" s="34">
        <f t="shared" si="51"/>
        <v>98140.446799604237</v>
      </c>
      <c r="AG96" s="34">
        <f t="shared" si="51"/>
        <v>100985.91018880022</v>
      </c>
      <c r="AH96" s="34">
        <f t="shared" ref="AH96:BI96" si="52">AH62*AH79</f>
        <v>103819.5991626522</v>
      </c>
      <c r="AI96" s="34">
        <f t="shared" si="52"/>
        <v>106641.54943696804</v>
      </c>
      <c r="AJ96" s="34">
        <f t="shared" si="52"/>
        <v>109451.79663178997</v>
      </c>
      <c r="AK96" s="34">
        <f t="shared" si="52"/>
        <v>112250.37627163484</v>
      </c>
      <c r="AL96" s="34">
        <f t="shared" si="52"/>
        <v>115037.32378573381</v>
      </c>
      <c r="AM96" s="34">
        <f t="shared" si="52"/>
        <v>117812.67450827132</v>
      </c>
      <c r="AN96" s="34">
        <f t="shared" si="52"/>
        <v>120576.46367862351</v>
      </c>
      <c r="AO96" s="34">
        <f t="shared" si="52"/>
        <v>123328.72644159627</v>
      </c>
      <c r="AP96" s="34">
        <f t="shared" si="52"/>
        <v>126069.49784766244</v>
      </c>
      <c r="AQ96" s="34">
        <f t="shared" si="52"/>
        <v>128798.81285319854</v>
      </c>
      <c r="AR96" s="34">
        <f t="shared" si="52"/>
        <v>128541.21522749214</v>
      </c>
      <c r="AS96" s="34">
        <f t="shared" si="52"/>
        <v>128284.13279703715</v>
      </c>
      <c r="AT96" s="34">
        <f t="shared" si="52"/>
        <v>128027.56453144307</v>
      </c>
      <c r="AU96" s="34">
        <f t="shared" si="52"/>
        <v>127771.50940238018</v>
      </c>
      <c r="AV96" s="34">
        <f t="shared" si="52"/>
        <v>127515.96638357543</v>
      </c>
      <c r="AW96" s="34">
        <f t="shared" si="52"/>
        <v>127260.93445080829</v>
      </c>
      <c r="AX96" s="34">
        <f t="shared" si="52"/>
        <v>127006.41258190667</v>
      </c>
      <c r="AY96" s="34">
        <f t="shared" si="52"/>
        <v>126752.39975674285</v>
      </c>
      <c r="AZ96" s="34">
        <f t="shared" si="52"/>
        <v>126498.89495722936</v>
      </c>
      <c r="BA96" s="34">
        <f t="shared" si="52"/>
        <v>126245.89716731489</v>
      </c>
      <c r="BB96" s="34">
        <f t="shared" si="52"/>
        <v>125993.40537298027</v>
      </c>
      <c r="BC96" s="34">
        <f t="shared" si="52"/>
        <v>125741.41856223431</v>
      </c>
      <c r="BD96" s="34">
        <f t="shared" si="52"/>
        <v>125489.93572510984</v>
      </c>
      <c r="BE96" s="34">
        <f t="shared" si="52"/>
        <v>125238.95585365962</v>
      </c>
      <c r="BF96" s="34">
        <f t="shared" si="52"/>
        <v>124988.4779419523</v>
      </c>
      <c r="BG96" s="34">
        <f t="shared" si="52"/>
        <v>124738.50098606839</v>
      </c>
      <c r="BH96" s="34">
        <f t="shared" si="52"/>
        <v>124489.02398409626</v>
      </c>
      <c r="BI96" s="34">
        <f t="shared" si="52"/>
        <v>124240.04593612805</v>
      </c>
    </row>
    <row r="97" spans="1:61" x14ac:dyDescent="0.25">
      <c r="A97" s="31" t="s">
        <v>228</v>
      </c>
      <c r="B97" s="34">
        <f t="shared" ref="B97:AG97" si="53">B63*B80</f>
        <v>0</v>
      </c>
      <c r="C97" s="34">
        <f t="shared" si="53"/>
        <v>0</v>
      </c>
      <c r="D97" s="34">
        <f t="shared" si="53"/>
        <v>0</v>
      </c>
      <c r="E97" s="34">
        <f t="shared" si="53"/>
        <v>0</v>
      </c>
      <c r="F97" s="34">
        <f t="shared" si="53"/>
        <v>0</v>
      </c>
      <c r="G97" s="34">
        <f t="shared" si="53"/>
        <v>0</v>
      </c>
      <c r="H97" s="34">
        <f t="shared" si="53"/>
        <v>0</v>
      </c>
      <c r="I97" s="34">
        <f t="shared" si="53"/>
        <v>0</v>
      </c>
      <c r="J97" s="34">
        <f t="shared" si="53"/>
        <v>0</v>
      </c>
      <c r="K97" s="34">
        <f t="shared" si="53"/>
        <v>0</v>
      </c>
      <c r="L97" s="34">
        <f t="shared" si="53"/>
        <v>0</v>
      </c>
      <c r="M97" s="34">
        <f t="shared" si="53"/>
        <v>0</v>
      </c>
      <c r="N97" s="34">
        <f t="shared" si="53"/>
        <v>0</v>
      </c>
      <c r="O97" s="34">
        <f t="shared" si="53"/>
        <v>0</v>
      </c>
      <c r="P97" s="34">
        <f t="shared" si="53"/>
        <v>0</v>
      </c>
      <c r="Q97" s="34">
        <f t="shared" si="53"/>
        <v>0</v>
      </c>
      <c r="R97" s="34">
        <f t="shared" si="53"/>
        <v>0</v>
      </c>
      <c r="S97" s="34">
        <f t="shared" si="53"/>
        <v>0</v>
      </c>
      <c r="T97" s="34">
        <f t="shared" si="53"/>
        <v>0</v>
      </c>
      <c r="U97" s="34">
        <f t="shared" si="53"/>
        <v>0</v>
      </c>
      <c r="V97" s="34">
        <f t="shared" si="53"/>
        <v>0</v>
      </c>
      <c r="W97" s="34">
        <f t="shared" si="53"/>
        <v>0</v>
      </c>
      <c r="X97" s="34">
        <f t="shared" si="53"/>
        <v>0</v>
      </c>
      <c r="Y97" s="34">
        <f t="shared" si="53"/>
        <v>0</v>
      </c>
      <c r="Z97" s="34">
        <f t="shared" si="53"/>
        <v>5000</v>
      </c>
      <c r="AA97" s="34">
        <f t="shared" si="53"/>
        <v>9990</v>
      </c>
      <c r="AB97" s="34">
        <f t="shared" si="53"/>
        <v>14970.019999999999</v>
      </c>
      <c r="AC97" s="34">
        <f t="shared" si="53"/>
        <v>19940.079959999999</v>
      </c>
      <c r="AD97" s="34">
        <f t="shared" si="53"/>
        <v>24900.199800079998</v>
      </c>
      <c r="AE97" s="34">
        <f t="shared" si="53"/>
        <v>29850.399400479841</v>
      </c>
      <c r="AF97" s="34">
        <f t="shared" si="53"/>
        <v>36602.714153849658</v>
      </c>
      <c r="AG97" s="34">
        <f t="shared" si="53"/>
        <v>43858.73357994172</v>
      </c>
      <c r="AH97" s="34">
        <f t="shared" ref="AH97:BI97" si="54">AH63*AH80</f>
        <v>51616.936684139473</v>
      </c>
      <c r="AI97" s="34">
        <f t="shared" si="54"/>
        <v>59875.806540986108</v>
      </c>
      <c r="AJ97" s="34">
        <f t="shared" si="54"/>
        <v>68633.830283991963</v>
      </c>
      <c r="AK97" s="34">
        <f t="shared" si="54"/>
        <v>77889.499095466294</v>
      </c>
      <c r="AL97" s="34">
        <f t="shared" si="54"/>
        <v>80818.391529706918</v>
      </c>
      <c r="AM97" s="34">
        <f t="shared" si="54"/>
        <v>83735.256836214205</v>
      </c>
      <c r="AN97" s="34">
        <f t="shared" si="54"/>
        <v>86640.131407929337</v>
      </c>
      <c r="AO97" s="34">
        <f t="shared" si="54"/>
        <v>89533.051540330271</v>
      </c>
      <c r="AP97" s="34">
        <f t="shared" si="54"/>
        <v>92414.053431675959</v>
      </c>
      <c r="AQ97" s="34">
        <f t="shared" si="54"/>
        <v>95283.17318325011</v>
      </c>
      <c r="AR97" s="34">
        <f t="shared" si="54"/>
        <v>98140.446799604237</v>
      </c>
      <c r="AS97" s="34">
        <f t="shared" si="54"/>
        <v>100985.91018880022</v>
      </c>
      <c r="AT97" s="34">
        <f t="shared" si="54"/>
        <v>103819.5991626522</v>
      </c>
      <c r="AU97" s="34">
        <f t="shared" si="54"/>
        <v>106641.54943696804</v>
      </c>
      <c r="AV97" s="34">
        <f t="shared" si="54"/>
        <v>109451.79663178997</v>
      </c>
      <c r="AW97" s="34">
        <f t="shared" si="54"/>
        <v>112250.37627163484</v>
      </c>
      <c r="AX97" s="34">
        <f t="shared" si="54"/>
        <v>115037.32378573381</v>
      </c>
      <c r="AY97" s="34">
        <f t="shared" si="54"/>
        <v>117812.67450827132</v>
      </c>
      <c r="AZ97" s="34">
        <f t="shared" si="54"/>
        <v>120576.46367862351</v>
      </c>
      <c r="BA97" s="34">
        <f t="shared" si="54"/>
        <v>123328.72644159627</v>
      </c>
      <c r="BB97" s="34">
        <f t="shared" si="54"/>
        <v>126069.49784766244</v>
      </c>
      <c r="BC97" s="34">
        <f t="shared" si="54"/>
        <v>128798.81285319854</v>
      </c>
      <c r="BD97" s="34">
        <f t="shared" si="54"/>
        <v>128541.21522749214</v>
      </c>
      <c r="BE97" s="34">
        <f t="shared" si="54"/>
        <v>128284.13279703715</v>
      </c>
      <c r="BF97" s="34">
        <f t="shared" si="54"/>
        <v>128027.56453144307</v>
      </c>
      <c r="BG97" s="34">
        <f t="shared" si="54"/>
        <v>127771.50940238018</v>
      </c>
      <c r="BH97" s="34">
        <f t="shared" si="54"/>
        <v>127515.96638357543</v>
      </c>
      <c r="BI97" s="34">
        <f t="shared" si="54"/>
        <v>127260.93445080829</v>
      </c>
    </row>
    <row r="98" spans="1:61" x14ac:dyDescent="0.25">
      <c r="A98" s="31" t="s">
        <v>229</v>
      </c>
      <c r="B98" s="34">
        <f t="shared" ref="B98:AG98" si="55">B64*B81</f>
        <v>0</v>
      </c>
      <c r="C98" s="34">
        <f t="shared" si="55"/>
        <v>0</v>
      </c>
      <c r="D98" s="34">
        <f t="shared" si="55"/>
        <v>0</v>
      </c>
      <c r="E98" s="34">
        <f t="shared" si="55"/>
        <v>0</v>
      </c>
      <c r="F98" s="34">
        <f t="shared" si="55"/>
        <v>0</v>
      </c>
      <c r="G98" s="34">
        <f t="shared" si="55"/>
        <v>0</v>
      </c>
      <c r="H98" s="34">
        <f t="shared" si="55"/>
        <v>0</v>
      </c>
      <c r="I98" s="34">
        <f t="shared" si="55"/>
        <v>0</v>
      </c>
      <c r="J98" s="34">
        <f t="shared" si="55"/>
        <v>0</v>
      </c>
      <c r="K98" s="34">
        <f t="shared" si="55"/>
        <v>0</v>
      </c>
      <c r="L98" s="34">
        <f t="shared" si="55"/>
        <v>0</v>
      </c>
      <c r="M98" s="34">
        <f t="shared" si="55"/>
        <v>0</v>
      </c>
      <c r="N98" s="34">
        <f t="shared" si="55"/>
        <v>0</v>
      </c>
      <c r="O98" s="34">
        <f t="shared" si="55"/>
        <v>0</v>
      </c>
      <c r="P98" s="34">
        <f t="shared" si="55"/>
        <v>0</v>
      </c>
      <c r="Q98" s="34">
        <f t="shared" si="55"/>
        <v>0</v>
      </c>
      <c r="R98" s="34">
        <f t="shared" si="55"/>
        <v>0</v>
      </c>
      <c r="S98" s="34">
        <f t="shared" si="55"/>
        <v>0</v>
      </c>
      <c r="T98" s="34">
        <f t="shared" si="55"/>
        <v>0</v>
      </c>
      <c r="U98" s="34">
        <f t="shared" si="55"/>
        <v>0</v>
      </c>
      <c r="V98" s="34">
        <f t="shared" si="55"/>
        <v>0</v>
      </c>
      <c r="W98" s="34">
        <f t="shared" si="55"/>
        <v>0</v>
      </c>
      <c r="X98" s="34">
        <f t="shared" si="55"/>
        <v>0</v>
      </c>
      <c r="Y98" s="34">
        <f t="shared" si="55"/>
        <v>0</v>
      </c>
      <c r="Z98" s="34">
        <f t="shared" si="55"/>
        <v>0</v>
      </c>
      <c r="AA98" s="34">
        <f t="shared" si="55"/>
        <v>0</v>
      </c>
      <c r="AB98" s="34">
        <f t="shared" si="55"/>
        <v>0</v>
      </c>
      <c r="AC98" s="34">
        <f t="shared" si="55"/>
        <v>0</v>
      </c>
      <c r="AD98" s="34">
        <f t="shared" si="55"/>
        <v>0</v>
      </c>
      <c r="AE98" s="34">
        <f t="shared" si="55"/>
        <v>0</v>
      </c>
      <c r="AF98" s="34">
        <f t="shared" si="55"/>
        <v>0</v>
      </c>
      <c r="AG98" s="34">
        <f t="shared" si="55"/>
        <v>0</v>
      </c>
      <c r="AH98" s="34">
        <f t="shared" ref="AH98:BI98" si="56">AH64*AH81</f>
        <v>0</v>
      </c>
      <c r="AI98" s="34">
        <f t="shared" si="56"/>
        <v>0</v>
      </c>
      <c r="AJ98" s="34">
        <f t="shared" si="56"/>
        <v>0</v>
      </c>
      <c r="AK98" s="34">
        <f t="shared" si="56"/>
        <v>0</v>
      </c>
      <c r="AL98" s="34">
        <f t="shared" si="56"/>
        <v>3333.333333333333</v>
      </c>
      <c r="AM98" s="34">
        <f t="shared" si="56"/>
        <v>6659.9999999999991</v>
      </c>
      <c r="AN98" s="34">
        <f t="shared" si="56"/>
        <v>9980.0133333333324</v>
      </c>
      <c r="AO98" s="34">
        <f t="shared" si="56"/>
        <v>13293.386640000001</v>
      </c>
      <c r="AP98" s="34">
        <f t="shared" si="56"/>
        <v>16600.133200053333</v>
      </c>
      <c r="AQ98" s="34">
        <f t="shared" si="56"/>
        <v>19900.26626698656</v>
      </c>
      <c r="AR98" s="34">
        <f t="shared" si="56"/>
        <v>24401.80943589977</v>
      </c>
      <c r="AS98" s="34">
        <f t="shared" si="56"/>
        <v>29239.155719961145</v>
      </c>
      <c r="AT98" s="34">
        <f t="shared" si="56"/>
        <v>34411.291122759649</v>
      </c>
      <c r="AU98" s="34">
        <f t="shared" si="56"/>
        <v>39917.204360657408</v>
      </c>
      <c r="AV98" s="34">
        <f t="shared" si="56"/>
        <v>45755.88685599465</v>
      </c>
      <c r="AW98" s="34">
        <f t="shared" si="56"/>
        <v>51926.332730310867</v>
      </c>
      <c r="AX98" s="34">
        <f t="shared" si="56"/>
        <v>53878.927686471288</v>
      </c>
      <c r="AY98" s="34">
        <f t="shared" si="56"/>
        <v>55823.504557476139</v>
      </c>
      <c r="AZ98" s="34">
        <f t="shared" si="56"/>
        <v>57760.08760528623</v>
      </c>
      <c r="BA98" s="34">
        <f t="shared" si="56"/>
        <v>59688.701026886854</v>
      </c>
      <c r="BB98" s="34">
        <f t="shared" si="56"/>
        <v>61609.368954450649</v>
      </c>
      <c r="BC98" s="34">
        <f t="shared" si="56"/>
        <v>63522.11545550009</v>
      </c>
      <c r="BD98" s="34">
        <f t="shared" si="56"/>
        <v>65426.964533069506</v>
      </c>
      <c r="BE98" s="34">
        <f t="shared" si="56"/>
        <v>67323.940125866837</v>
      </c>
      <c r="BF98" s="34">
        <f t="shared" si="56"/>
        <v>69213.066108434825</v>
      </c>
      <c r="BG98" s="34">
        <f t="shared" si="56"/>
        <v>71094.366291312035</v>
      </c>
      <c r="BH98" s="34">
        <f t="shared" si="56"/>
        <v>72967.864421193328</v>
      </c>
      <c r="BI98" s="34">
        <f t="shared" si="56"/>
        <v>74833.584181089915</v>
      </c>
    </row>
    <row r="99" spans="1:61" x14ac:dyDescent="0.25">
      <c r="A99" s="31" t="s">
        <v>230</v>
      </c>
      <c r="B99" s="34">
        <f t="shared" ref="B99:AG99" si="57">B65*B82</f>
        <v>0</v>
      </c>
      <c r="C99" s="34">
        <f t="shared" si="57"/>
        <v>0</v>
      </c>
      <c r="D99" s="34">
        <f t="shared" si="57"/>
        <v>0</v>
      </c>
      <c r="E99" s="34">
        <f t="shared" si="57"/>
        <v>0</v>
      </c>
      <c r="F99" s="34">
        <f t="shared" si="57"/>
        <v>0</v>
      </c>
      <c r="G99" s="34">
        <f t="shared" si="57"/>
        <v>0</v>
      </c>
      <c r="H99" s="34">
        <f t="shared" si="57"/>
        <v>0</v>
      </c>
      <c r="I99" s="34">
        <f t="shared" si="57"/>
        <v>0</v>
      </c>
      <c r="J99" s="34">
        <f t="shared" si="57"/>
        <v>0</v>
      </c>
      <c r="K99" s="34">
        <f t="shared" si="57"/>
        <v>0</v>
      </c>
      <c r="L99" s="34">
        <f t="shared" si="57"/>
        <v>0</v>
      </c>
      <c r="M99" s="34">
        <f t="shared" si="57"/>
        <v>0</v>
      </c>
      <c r="N99" s="34">
        <f t="shared" si="57"/>
        <v>0</v>
      </c>
      <c r="O99" s="34">
        <f t="shared" si="57"/>
        <v>0</v>
      </c>
      <c r="P99" s="34">
        <f t="shared" si="57"/>
        <v>0</v>
      </c>
      <c r="Q99" s="34">
        <f t="shared" si="57"/>
        <v>0</v>
      </c>
      <c r="R99" s="34">
        <f t="shared" si="57"/>
        <v>0</v>
      </c>
      <c r="S99" s="34">
        <f t="shared" si="57"/>
        <v>0</v>
      </c>
      <c r="T99" s="34">
        <f t="shared" si="57"/>
        <v>0</v>
      </c>
      <c r="U99" s="34">
        <f t="shared" si="57"/>
        <v>0</v>
      </c>
      <c r="V99" s="34">
        <f t="shared" si="57"/>
        <v>0</v>
      </c>
      <c r="W99" s="34">
        <f t="shared" si="57"/>
        <v>0</v>
      </c>
      <c r="X99" s="34">
        <f t="shared" si="57"/>
        <v>0</v>
      </c>
      <c r="Y99" s="34">
        <f t="shared" si="57"/>
        <v>0</v>
      </c>
      <c r="Z99" s="34">
        <f t="shared" si="57"/>
        <v>0</v>
      </c>
      <c r="AA99" s="34">
        <f t="shared" si="57"/>
        <v>0</v>
      </c>
      <c r="AB99" s="34">
        <f t="shared" si="57"/>
        <v>0</v>
      </c>
      <c r="AC99" s="34">
        <f t="shared" si="57"/>
        <v>0</v>
      </c>
      <c r="AD99" s="34">
        <f t="shared" si="57"/>
        <v>0</v>
      </c>
      <c r="AE99" s="34">
        <f t="shared" si="57"/>
        <v>0</v>
      </c>
      <c r="AF99" s="34">
        <f t="shared" si="57"/>
        <v>0</v>
      </c>
      <c r="AG99" s="34">
        <f t="shared" si="57"/>
        <v>0</v>
      </c>
      <c r="AH99" s="34">
        <f t="shared" ref="AH99:BI99" si="58">AH65*AH82</f>
        <v>0</v>
      </c>
      <c r="AI99" s="34">
        <f t="shared" si="58"/>
        <v>0</v>
      </c>
      <c r="AJ99" s="34">
        <f t="shared" si="58"/>
        <v>0</v>
      </c>
      <c r="AK99" s="34">
        <f t="shared" si="58"/>
        <v>0</v>
      </c>
      <c r="AL99" s="34">
        <f t="shared" si="58"/>
        <v>0</v>
      </c>
      <c r="AM99" s="34">
        <f t="shared" si="58"/>
        <v>0</v>
      </c>
      <c r="AN99" s="34">
        <f t="shared" si="58"/>
        <v>0</v>
      </c>
      <c r="AO99" s="34">
        <f t="shared" si="58"/>
        <v>0</v>
      </c>
      <c r="AP99" s="34">
        <f t="shared" si="58"/>
        <v>0</v>
      </c>
      <c r="AQ99" s="34">
        <f t="shared" si="58"/>
        <v>0</v>
      </c>
      <c r="AR99" s="34">
        <f t="shared" si="58"/>
        <v>0</v>
      </c>
      <c r="AS99" s="34">
        <f t="shared" si="58"/>
        <v>0</v>
      </c>
      <c r="AT99" s="34">
        <f t="shared" si="58"/>
        <v>0</v>
      </c>
      <c r="AU99" s="34">
        <f t="shared" si="58"/>
        <v>0</v>
      </c>
      <c r="AV99" s="34">
        <f t="shared" si="58"/>
        <v>0</v>
      </c>
      <c r="AW99" s="34">
        <f t="shared" si="58"/>
        <v>0</v>
      </c>
      <c r="AX99" s="34">
        <f t="shared" si="58"/>
        <v>1666.6666666666665</v>
      </c>
      <c r="AY99" s="34">
        <f t="shared" si="58"/>
        <v>3329.9999999999995</v>
      </c>
      <c r="AZ99" s="34">
        <f t="shared" si="58"/>
        <v>4990.0066666666662</v>
      </c>
      <c r="BA99" s="34">
        <f t="shared" si="58"/>
        <v>6646.6933200000003</v>
      </c>
      <c r="BB99" s="34">
        <f t="shared" si="58"/>
        <v>8300.0666000266665</v>
      </c>
      <c r="BC99" s="34">
        <f t="shared" si="58"/>
        <v>9950.1331334932802</v>
      </c>
      <c r="BD99" s="34">
        <f t="shared" si="58"/>
        <v>12200.904717949885</v>
      </c>
      <c r="BE99" s="34">
        <f t="shared" si="58"/>
        <v>14619.577859980573</v>
      </c>
      <c r="BF99" s="34">
        <f t="shared" si="58"/>
        <v>17205.645561379824</v>
      </c>
      <c r="BG99" s="34">
        <f t="shared" si="58"/>
        <v>19958.602180328704</v>
      </c>
      <c r="BH99" s="34">
        <f t="shared" si="58"/>
        <v>22877.943427997325</v>
      </c>
      <c r="BI99" s="34">
        <f t="shared" si="58"/>
        <v>25963.166365155434</v>
      </c>
    </row>
    <row r="100" spans="1:61" x14ac:dyDescent="0.25">
      <c r="A100" s="31" t="s">
        <v>231</v>
      </c>
      <c r="B100" s="34">
        <f>הנחות!B15</f>
        <v>20000</v>
      </c>
      <c r="C100" s="34">
        <f>הנחות!B15</f>
        <v>20000</v>
      </c>
      <c r="D100" s="34">
        <f>הנחות!B15</f>
        <v>20000</v>
      </c>
      <c r="E100" s="34">
        <f>הנחות!B15</f>
        <v>20000</v>
      </c>
      <c r="F100" s="34">
        <f>הנחות!B15</f>
        <v>20000</v>
      </c>
      <c r="G100" s="34">
        <f>הנחות!B15</f>
        <v>20000</v>
      </c>
      <c r="H100" s="34">
        <f>הנחות!B15</f>
        <v>20000</v>
      </c>
      <c r="I100" s="34">
        <f>הנחות!B15</f>
        <v>20000</v>
      </c>
      <c r="J100" s="34">
        <f>הנחות!B15</f>
        <v>20000</v>
      </c>
      <c r="K100" s="34">
        <f>הנחות!B15</f>
        <v>20000</v>
      </c>
      <c r="L100" s="34">
        <f>הנחות!B15</f>
        <v>20000</v>
      </c>
      <c r="M100" s="34">
        <f>הנחות!B15</f>
        <v>20000</v>
      </c>
      <c r="N100" s="34">
        <f>הנחות!B15</f>
        <v>20000</v>
      </c>
      <c r="O100" s="34">
        <f>הנחות!B15</f>
        <v>20000</v>
      </c>
      <c r="P100" s="34">
        <f>הנחות!B15</f>
        <v>20000</v>
      </c>
      <c r="Q100" s="34">
        <f>הנחות!B15</f>
        <v>20000</v>
      </c>
      <c r="R100" s="34">
        <f>הנחות!B15</f>
        <v>20000</v>
      </c>
      <c r="S100" s="34">
        <f>הנחות!B15</f>
        <v>20000</v>
      </c>
      <c r="T100" s="34">
        <f>הנחות!B15</f>
        <v>20000</v>
      </c>
      <c r="U100" s="34">
        <f>הנחות!B15</f>
        <v>20000</v>
      </c>
      <c r="V100" s="34">
        <f>הנחות!B15</f>
        <v>20000</v>
      </c>
      <c r="W100" s="34">
        <f>הנחות!B15</f>
        <v>20000</v>
      </c>
      <c r="X100" s="34">
        <f>הנחות!B15</f>
        <v>20000</v>
      </c>
      <c r="Y100" s="34">
        <f>הנחות!B15</f>
        <v>20000</v>
      </c>
      <c r="Z100" s="34">
        <f>הנחות!B15</f>
        <v>20000</v>
      </c>
      <c r="AA100" s="34">
        <f>הנחות!B15</f>
        <v>20000</v>
      </c>
      <c r="AB100" s="34">
        <f>הנחות!B15</f>
        <v>20000</v>
      </c>
      <c r="AC100" s="34">
        <f>הנחות!B15</f>
        <v>20000</v>
      </c>
      <c r="AD100" s="34">
        <f>הנחות!B15</f>
        <v>20000</v>
      </c>
      <c r="AE100" s="34">
        <f>הנחות!B15</f>
        <v>20000</v>
      </c>
      <c r="AF100" s="34">
        <f>הנחות!B15</f>
        <v>20000</v>
      </c>
      <c r="AG100" s="34">
        <f>הנחות!B15</f>
        <v>20000</v>
      </c>
      <c r="AH100" s="34">
        <f>הנחות!B15</f>
        <v>20000</v>
      </c>
      <c r="AI100" s="34">
        <f>הנחות!B15</f>
        <v>20000</v>
      </c>
      <c r="AJ100" s="34">
        <f>הנחות!B15</f>
        <v>20000</v>
      </c>
      <c r="AK100" s="34">
        <f>הנחות!B15</f>
        <v>20000</v>
      </c>
      <c r="AL100" s="34">
        <f>הנחות!B15</f>
        <v>20000</v>
      </c>
      <c r="AM100" s="34">
        <f>הנחות!B15</f>
        <v>20000</v>
      </c>
      <c r="AN100" s="34">
        <f>הנחות!B15</f>
        <v>20000</v>
      </c>
      <c r="AO100" s="34">
        <f>הנחות!B15</f>
        <v>20000</v>
      </c>
      <c r="AP100" s="34">
        <f>הנחות!B15</f>
        <v>20000</v>
      </c>
      <c r="AQ100" s="34">
        <f>הנחות!B15</f>
        <v>20000</v>
      </c>
      <c r="AR100" s="34">
        <f>הנחות!B15</f>
        <v>20000</v>
      </c>
      <c r="AS100" s="34">
        <f>הנחות!B15</f>
        <v>20000</v>
      </c>
      <c r="AT100" s="34">
        <f>הנחות!B15</f>
        <v>20000</v>
      </c>
      <c r="AU100" s="34">
        <f>הנחות!B15</f>
        <v>20000</v>
      </c>
      <c r="AV100" s="34">
        <f>הנחות!B15</f>
        <v>20000</v>
      </c>
      <c r="AW100" s="34">
        <f>הנחות!B15</f>
        <v>20000</v>
      </c>
      <c r="AX100" s="34">
        <f>הנחות!B15</f>
        <v>20000</v>
      </c>
      <c r="AY100" s="34">
        <f>הנחות!B15</f>
        <v>20000</v>
      </c>
      <c r="AZ100" s="34">
        <f>הנחות!B15</f>
        <v>20000</v>
      </c>
      <c r="BA100" s="34">
        <f>הנחות!B15</f>
        <v>20000</v>
      </c>
      <c r="BB100" s="34">
        <f>הנחות!B15</f>
        <v>20000</v>
      </c>
      <c r="BC100" s="34">
        <f>הנחות!B15</f>
        <v>20000</v>
      </c>
      <c r="BD100" s="34">
        <f>הנחות!B15</f>
        <v>20000</v>
      </c>
      <c r="BE100" s="34">
        <f>הנחות!B15</f>
        <v>20000</v>
      </c>
      <c r="BF100" s="34">
        <f>הנחות!B15</f>
        <v>20000</v>
      </c>
      <c r="BG100" s="34">
        <f>הנחות!B15</f>
        <v>20000</v>
      </c>
      <c r="BH100" s="34">
        <f>הנחות!B15</f>
        <v>20000</v>
      </c>
      <c r="BI100" s="34">
        <f>הנחות!B15</f>
        <v>20000</v>
      </c>
    </row>
    <row r="102" spans="1:61" x14ac:dyDescent="0.25">
      <c r="A102" s="68" t="s">
        <v>232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</row>
    <row r="103" spans="1:61" x14ac:dyDescent="0.25">
      <c r="A103" s="68" t="s">
        <v>233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</row>
    <row r="104" spans="1:61" x14ac:dyDescent="0.25">
      <c r="A104" s="31" t="s">
        <v>234</v>
      </c>
      <c r="B104" s="39">
        <f>IF(1&gt;=הנחות!C27,1,0)</f>
        <v>1</v>
      </c>
      <c r="C104" s="39">
        <f>IF(2&gt;=הנחות!C27,1,0)</f>
        <v>1</v>
      </c>
      <c r="D104" s="39">
        <f>IF(3&gt;=הנחות!C27,1,0)</f>
        <v>1</v>
      </c>
      <c r="E104" s="39">
        <f>IF(4&gt;=הנחות!C27,1,0)</f>
        <v>1</v>
      </c>
      <c r="F104" s="39">
        <f>IF(5&gt;=הנחות!C27,1,0)</f>
        <v>1</v>
      </c>
      <c r="G104" s="39">
        <f>IF(6&gt;=הנחות!C27,1,0)</f>
        <v>1</v>
      </c>
      <c r="H104" s="39">
        <f>IF(7&gt;=הנחות!C27,1,0)</f>
        <v>1</v>
      </c>
      <c r="I104" s="39">
        <f>IF(8&gt;=הנחות!C27,1,0)</f>
        <v>1</v>
      </c>
      <c r="J104" s="39">
        <f>IF(9&gt;=הנחות!C27,1,0)</f>
        <v>1</v>
      </c>
      <c r="K104" s="39">
        <f>IF(10&gt;=הנחות!C27,1,0)</f>
        <v>1</v>
      </c>
      <c r="L104" s="39">
        <f>IF(11&gt;=הנחות!C27,1,0)</f>
        <v>1</v>
      </c>
      <c r="M104" s="39">
        <f>IF(12&gt;=הנחות!C27,1,0)</f>
        <v>1</v>
      </c>
      <c r="N104" s="39">
        <f>IF(13&gt;=הנחות!C27,1,0)</f>
        <v>1</v>
      </c>
      <c r="O104" s="39">
        <f>IF(14&gt;=הנחות!C27,1,0)</f>
        <v>1</v>
      </c>
      <c r="P104" s="39">
        <f>IF(15&gt;=הנחות!C27,1,0)</f>
        <v>1</v>
      </c>
      <c r="Q104" s="39">
        <f>IF(16&gt;=הנחות!C27,1,0)</f>
        <v>1</v>
      </c>
      <c r="R104" s="39">
        <f>IF(17&gt;=הנחות!C27,1,0)</f>
        <v>1</v>
      </c>
      <c r="S104" s="39">
        <f>IF(18&gt;=הנחות!C27,1,0)</f>
        <v>1</v>
      </c>
      <c r="T104" s="39">
        <f>IF(19&gt;=הנחות!C27,1,0)</f>
        <v>1</v>
      </c>
      <c r="U104" s="39">
        <f>IF(20&gt;=הנחות!C27,1,0)</f>
        <v>1</v>
      </c>
      <c r="V104" s="39">
        <f>IF(21&gt;=הנחות!C27,1,0)</f>
        <v>1</v>
      </c>
      <c r="W104" s="39">
        <f>IF(22&gt;=הנחות!C27,1,0)</f>
        <v>1</v>
      </c>
      <c r="X104" s="39">
        <f>IF(23&gt;=הנחות!C27,1,0)</f>
        <v>1</v>
      </c>
      <c r="Y104" s="39">
        <f>IF(24&gt;=הנחות!C27,1,0)</f>
        <v>1</v>
      </c>
      <c r="Z104" s="39">
        <f>IF(25&gt;=הנחות!C27,1,0)</f>
        <v>1</v>
      </c>
      <c r="AA104" s="39">
        <f>IF(26&gt;=הנחות!C27,1,0)</f>
        <v>1</v>
      </c>
      <c r="AB104" s="39">
        <f>IF(27&gt;=הנחות!C27,1,0)</f>
        <v>1</v>
      </c>
      <c r="AC104" s="39">
        <f>IF(28&gt;=הנחות!C27,1,0)</f>
        <v>1</v>
      </c>
      <c r="AD104" s="39">
        <f>IF(29&gt;=הנחות!C27,1,0)</f>
        <v>1</v>
      </c>
      <c r="AE104" s="39">
        <f>IF(30&gt;=הנחות!C27,1,0)</f>
        <v>1</v>
      </c>
      <c r="AF104" s="39">
        <f>IF(31&gt;=הנחות!C27,1,0)</f>
        <v>1</v>
      </c>
      <c r="AG104" s="39">
        <f>IF(32&gt;=הנחות!C27,1,0)</f>
        <v>1</v>
      </c>
      <c r="AH104" s="39">
        <f>IF(33&gt;=הנחות!C27,1,0)</f>
        <v>1</v>
      </c>
      <c r="AI104" s="39">
        <f>IF(34&gt;=הנחות!C27,1,0)</f>
        <v>1</v>
      </c>
      <c r="AJ104" s="39">
        <f>IF(35&gt;=הנחות!C27,1,0)</f>
        <v>1</v>
      </c>
      <c r="AK104" s="39">
        <f>IF(36&gt;=הנחות!C27,1,0)</f>
        <v>1</v>
      </c>
      <c r="AL104" s="39">
        <f>IF(37&gt;=הנחות!C27,1,0)</f>
        <v>1</v>
      </c>
      <c r="AM104" s="39">
        <f>IF(38&gt;=הנחות!C27,1,0)</f>
        <v>1</v>
      </c>
      <c r="AN104" s="39">
        <f>IF(39&gt;=הנחות!C27,1,0)</f>
        <v>1</v>
      </c>
      <c r="AO104" s="39">
        <f>IF(40&gt;=הנחות!C27,1,0)</f>
        <v>1</v>
      </c>
      <c r="AP104" s="39">
        <f>IF(41&gt;=הנחות!C27,1,0)</f>
        <v>1</v>
      </c>
      <c r="AQ104" s="39">
        <f>IF(42&gt;=הנחות!C27,1,0)</f>
        <v>1</v>
      </c>
      <c r="AR104" s="39">
        <f>IF(43&gt;=הנחות!C27,1,0)</f>
        <v>1</v>
      </c>
      <c r="AS104" s="39">
        <f>IF(44&gt;=הנחות!C27,1,0)</f>
        <v>1</v>
      </c>
      <c r="AT104" s="39">
        <f>IF(45&gt;=הנחות!C27,1,0)</f>
        <v>1</v>
      </c>
      <c r="AU104" s="39">
        <f>IF(46&gt;=הנחות!C27,1,0)</f>
        <v>1</v>
      </c>
      <c r="AV104" s="39">
        <f>IF(47&gt;=הנחות!C27,1,0)</f>
        <v>1</v>
      </c>
      <c r="AW104" s="39">
        <f>IF(48&gt;=הנחות!C27,1,0)</f>
        <v>1</v>
      </c>
      <c r="AX104" s="39">
        <f>IF(49&gt;=הנחות!C27,1,0)</f>
        <v>1</v>
      </c>
      <c r="AY104" s="39">
        <f>IF(50&gt;=הנחות!C27,1,0)</f>
        <v>1</v>
      </c>
      <c r="AZ104" s="39">
        <f>IF(51&gt;=הנחות!C27,1,0)</f>
        <v>1</v>
      </c>
      <c r="BA104" s="39">
        <f>IF(52&gt;=הנחות!C27,1,0)</f>
        <v>1</v>
      </c>
      <c r="BB104" s="39">
        <f>IF(53&gt;=הנחות!C27,1,0)</f>
        <v>1</v>
      </c>
      <c r="BC104" s="39">
        <f>IF(54&gt;=הנחות!C27,1,0)</f>
        <v>1</v>
      </c>
      <c r="BD104" s="39">
        <f>IF(55&gt;=הנחות!C27,1,0)</f>
        <v>1</v>
      </c>
      <c r="BE104" s="39">
        <f>IF(56&gt;=הנחות!C27,1,0)</f>
        <v>1</v>
      </c>
      <c r="BF104" s="39">
        <f>IF(57&gt;=הנחות!C27,1,0)</f>
        <v>1</v>
      </c>
      <c r="BG104" s="39">
        <f>IF(58&gt;=הנחות!C27,1,0)</f>
        <v>1</v>
      </c>
      <c r="BH104" s="39">
        <f>IF(59&gt;=הנחות!C27,1,0)</f>
        <v>1</v>
      </c>
      <c r="BI104" s="39">
        <f>IF(60&gt;=הנחות!C27,1,0)</f>
        <v>1</v>
      </c>
    </row>
    <row r="105" spans="1:61" x14ac:dyDescent="0.25">
      <c r="A105" s="31" t="s">
        <v>235</v>
      </c>
      <c r="B105" s="39">
        <f>IF(1&gt;=הנחות!C28,1,0)</f>
        <v>1</v>
      </c>
      <c r="C105" s="39">
        <f>IF(2&gt;=הנחות!C28,1,0)</f>
        <v>1</v>
      </c>
      <c r="D105" s="39">
        <f>IF(3&gt;=הנחות!C28,1,0)</f>
        <v>1</v>
      </c>
      <c r="E105" s="39">
        <f>IF(4&gt;=הנחות!C28,1,0)</f>
        <v>1</v>
      </c>
      <c r="F105" s="39">
        <f>IF(5&gt;=הנחות!C28,1,0)</f>
        <v>1</v>
      </c>
      <c r="G105" s="39">
        <f>IF(6&gt;=הנחות!C28,1,0)</f>
        <v>1</v>
      </c>
      <c r="H105" s="39">
        <f>IF(7&gt;=הנחות!C28,1,0)</f>
        <v>1</v>
      </c>
      <c r="I105" s="39">
        <f>IF(8&gt;=הנחות!C28,1,0)</f>
        <v>1</v>
      </c>
      <c r="J105" s="39">
        <f>IF(9&gt;=הנחות!C28,1,0)</f>
        <v>1</v>
      </c>
      <c r="K105" s="39">
        <f>IF(10&gt;=הנחות!C28,1,0)</f>
        <v>1</v>
      </c>
      <c r="L105" s="39">
        <f>IF(11&gt;=הנחות!C28,1,0)</f>
        <v>1</v>
      </c>
      <c r="M105" s="39">
        <f>IF(12&gt;=הנחות!C28,1,0)</f>
        <v>1</v>
      </c>
      <c r="N105" s="39">
        <f>IF(13&gt;=הנחות!C28,1,0)</f>
        <v>1</v>
      </c>
      <c r="O105" s="39">
        <f>IF(14&gt;=הנחות!C28,1,0)</f>
        <v>1</v>
      </c>
      <c r="P105" s="39">
        <f>IF(15&gt;=הנחות!C28,1,0)</f>
        <v>1</v>
      </c>
      <c r="Q105" s="39">
        <f>IF(16&gt;=הנחות!C28,1,0)</f>
        <v>1</v>
      </c>
      <c r="R105" s="39">
        <f>IF(17&gt;=הנחות!C28,1,0)</f>
        <v>1</v>
      </c>
      <c r="S105" s="39">
        <f>IF(18&gt;=הנחות!C28,1,0)</f>
        <v>1</v>
      </c>
      <c r="T105" s="39">
        <f>IF(19&gt;=הנחות!C28,1,0)</f>
        <v>1</v>
      </c>
      <c r="U105" s="39">
        <f>IF(20&gt;=הנחות!C28,1,0)</f>
        <v>1</v>
      </c>
      <c r="V105" s="39">
        <f>IF(21&gt;=הנחות!C28,1,0)</f>
        <v>1</v>
      </c>
      <c r="W105" s="39">
        <f>IF(22&gt;=הנחות!C28,1,0)</f>
        <v>1</v>
      </c>
      <c r="X105" s="39">
        <f>IF(23&gt;=הנחות!C28,1,0)</f>
        <v>1</v>
      </c>
      <c r="Y105" s="39">
        <f>IF(24&gt;=הנחות!C28,1,0)</f>
        <v>1</v>
      </c>
      <c r="Z105" s="39">
        <f>IF(25&gt;=הנחות!C28,1,0)</f>
        <v>1</v>
      </c>
      <c r="AA105" s="39">
        <f>IF(26&gt;=הנחות!C28,1,0)</f>
        <v>1</v>
      </c>
      <c r="AB105" s="39">
        <f>IF(27&gt;=הנחות!C28,1,0)</f>
        <v>1</v>
      </c>
      <c r="AC105" s="39">
        <f>IF(28&gt;=הנחות!C28,1,0)</f>
        <v>1</v>
      </c>
      <c r="AD105" s="39">
        <f>IF(29&gt;=הנחות!C28,1,0)</f>
        <v>1</v>
      </c>
      <c r="AE105" s="39">
        <f>IF(30&gt;=הנחות!C28,1,0)</f>
        <v>1</v>
      </c>
      <c r="AF105" s="39">
        <f>IF(31&gt;=הנחות!C28,1,0)</f>
        <v>1</v>
      </c>
      <c r="AG105" s="39">
        <f>IF(32&gt;=הנחות!C28,1,0)</f>
        <v>1</v>
      </c>
      <c r="AH105" s="39">
        <f>IF(33&gt;=הנחות!C28,1,0)</f>
        <v>1</v>
      </c>
      <c r="AI105" s="39">
        <f>IF(34&gt;=הנחות!C28,1,0)</f>
        <v>1</v>
      </c>
      <c r="AJ105" s="39">
        <f>IF(35&gt;=הנחות!C28,1,0)</f>
        <v>1</v>
      </c>
      <c r="AK105" s="39">
        <f>IF(36&gt;=הנחות!C28,1,0)</f>
        <v>1</v>
      </c>
      <c r="AL105" s="39">
        <f>IF(37&gt;=הנחות!C28,1,0)</f>
        <v>1</v>
      </c>
      <c r="AM105" s="39">
        <f>IF(38&gt;=הנחות!C28,1,0)</f>
        <v>1</v>
      </c>
      <c r="AN105" s="39">
        <f>IF(39&gt;=הנחות!C28,1,0)</f>
        <v>1</v>
      </c>
      <c r="AO105" s="39">
        <f>IF(40&gt;=הנחות!C28,1,0)</f>
        <v>1</v>
      </c>
      <c r="AP105" s="39">
        <f>IF(41&gt;=הנחות!C28,1,0)</f>
        <v>1</v>
      </c>
      <c r="AQ105" s="39">
        <f>IF(42&gt;=הנחות!C28,1,0)</f>
        <v>1</v>
      </c>
      <c r="AR105" s="39">
        <f>IF(43&gt;=הנחות!C28,1,0)</f>
        <v>1</v>
      </c>
      <c r="AS105" s="39">
        <f>IF(44&gt;=הנחות!C28,1,0)</f>
        <v>1</v>
      </c>
      <c r="AT105" s="39">
        <f>IF(45&gt;=הנחות!C28,1,0)</f>
        <v>1</v>
      </c>
      <c r="AU105" s="39">
        <f>IF(46&gt;=הנחות!C28,1,0)</f>
        <v>1</v>
      </c>
      <c r="AV105" s="39">
        <f>IF(47&gt;=הנחות!C28,1,0)</f>
        <v>1</v>
      </c>
      <c r="AW105" s="39">
        <f>IF(48&gt;=הנחות!C28,1,0)</f>
        <v>1</v>
      </c>
      <c r="AX105" s="39">
        <f>IF(49&gt;=הנחות!C28,1,0)</f>
        <v>1</v>
      </c>
      <c r="AY105" s="39">
        <f>IF(50&gt;=הנחות!C28,1,0)</f>
        <v>1</v>
      </c>
      <c r="AZ105" s="39">
        <f>IF(51&gt;=הנחות!C28,1,0)</f>
        <v>1</v>
      </c>
      <c r="BA105" s="39">
        <f>IF(52&gt;=הנחות!C28,1,0)</f>
        <v>1</v>
      </c>
      <c r="BB105" s="39">
        <f>IF(53&gt;=הנחות!C28,1,0)</f>
        <v>1</v>
      </c>
      <c r="BC105" s="39">
        <f>IF(54&gt;=הנחות!C28,1,0)</f>
        <v>1</v>
      </c>
      <c r="BD105" s="39">
        <f>IF(55&gt;=הנחות!C28,1,0)</f>
        <v>1</v>
      </c>
      <c r="BE105" s="39">
        <f>IF(56&gt;=הנחות!C28,1,0)</f>
        <v>1</v>
      </c>
      <c r="BF105" s="39">
        <f>IF(57&gt;=הנחות!C28,1,0)</f>
        <v>1</v>
      </c>
      <c r="BG105" s="39">
        <f>IF(58&gt;=הנחות!C28,1,0)</f>
        <v>1</v>
      </c>
      <c r="BH105" s="39">
        <f>IF(59&gt;=הנחות!C28,1,0)</f>
        <v>1</v>
      </c>
      <c r="BI105" s="39">
        <f>IF(60&gt;=הנחות!C28,1,0)</f>
        <v>1</v>
      </c>
    </row>
    <row r="106" spans="1:61" x14ac:dyDescent="0.25">
      <c r="A106" s="31" t="s">
        <v>236</v>
      </c>
      <c r="B106" s="39">
        <f>IF(1&gt;=הנחות!C29,1,0)</f>
        <v>0</v>
      </c>
      <c r="C106" s="39">
        <f>IF(2&gt;=הנחות!C29,1,0)</f>
        <v>0</v>
      </c>
      <c r="D106" s="39">
        <f>IF(3&gt;=הנחות!C29,1,0)</f>
        <v>0</v>
      </c>
      <c r="E106" s="39">
        <f>IF(4&gt;=הנחות!C29,1,0)</f>
        <v>0</v>
      </c>
      <c r="F106" s="39">
        <f>IF(5&gt;=הנחות!C29,1,0)</f>
        <v>0</v>
      </c>
      <c r="G106" s="39">
        <f>IF(6&gt;=הנחות!C29,1,0)</f>
        <v>0</v>
      </c>
      <c r="H106" s="39">
        <f>IF(7&gt;=הנחות!C29,1,0)</f>
        <v>0</v>
      </c>
      <c r="I106" s="39">
        <f>IF(8&gt;=הנחות!C29,1,0)</f>
        <v>0</v>
      </c>
      <c r="J106" s="39">
        <f>IF(9&gt;=הנחות!C29,1,0)</f>
        <v>0</v>
      </c>
      <c r="K106" s="39">
        <f>IF(10&gt;=הנחות!C29,1,0)</f>
        <v>0</v>
      </c>
      <c r="L106" s="39">
        <f>IF(11&gt;=הנחות!C29,1,0)</f>
        <v>0</v>
      </c>
      <c r="M106" s="39">
        <f>IF(12&gt;=הנחות!C29,1,0)</f>
        <v>1</v>
      </c>
      <c r="N106" s="39">
        <f>IF(13&gt;=הנחות!C29,1,0)</f>
        <v>1</v>
      </c>
      <c r="O106" s="39">
        <f>IF(14&gt;=הנחות!C29,1,0)</f>
        <v>1</v>
      </c>
      <c r="P106" s="39">
        <f>IF(15&gt;=הנחות!C29,1,0)</f>
        <v>1</v>
      </c>
      <c r="Q106" s="39">
        <f>IF(16&gt;=הנחות!C29,1,0)</f>
        <v>1</v>
      </c>
      <c r="R106" s="39">
        <f>IF(17&gt;=הנחות!C29,1,0)</f>
        <v>1</v>
      </c>
      <c r="S106" s="39">
        <f>IF(18&gt;=הנחות!C29,1,0)</f>
        <v>1</v>
      </c>
      <c r="T106" s="39">
        <f>IF(19&gt;=הנחות!C29,1,0)</f>
        <v>1</v>
      </c>
      <c r="U106" s="39">
        <f>IF(20&gt;=הנחות!C29,1,0)</f>
        <v>1</v>
      </c>
      <c r="V106" s="39">
        <f>IF(21&gt;=הנחות!C29,1,0)</f>
        <v>1</v>
      </c>
      <c r="W106" s="39">
        <f>IF(22&gt;=הנחות!C29,1,0)</f>
        <v>1</v>
      </c>
      <c r="X106" s="39">
        <f>IF(23&gt;=הנחות!C29,1,0)</f>
        <v>1</v>
      </c>
      <c r="Y106" s="39">
        <f>IF(24&gt;=הנחות!C29,1,0)</f>
        <v>1</v>
      </c>
      <c r="Z106" s="39">
        <f>IF(25&gt;=הנחות!C29,1,0)</f>
        <v>1</v>
      </c>
      <c r="AA106" s="39">
        <f>IF(26&gt;=הנחות!C29,1,0)</f>
        <v>1</v>
      </c>
      <c r="AB106" s="39">
        <f>IF(27&gt;=הנחות!C29,1,0)</f>
        <v>1</v>
      </c>
      <c r="AC106" s="39">
        <f>IF(28&gt;=הנחות!C29,1,0)</f>
        <v>1</v>
      </c>
      <c r="AD106" s="39">
        <f>IF(29&gt;=הנחות!C29,1,0)</f>
        <v>1</v>
      </c>
      <c r="AE106" s="39">
        <f>IF(30&gt;=הנחות!C29,1,0)</f>
        <v>1</v>
      </c>
      <c r="AF106" s="39">
        <f>IF(31&gt;=הנחות!C29,1,0)</f>
        <v>1</v>
      </c>
      <c r="AG106" s="39">
        <f>IF(32&gt;=הנחות!C29,1,0)</f>
        <v>1</v>
      </c>
      <c r="AH106" s="39">
        <f>IF(33&gt;=הנחות!C29,1,0)</f>
        <v>1</v>
      </c>
      <c r="AI106" s="39">
        <f>IF(34&gt;=הנחות!C29,1,0)</f>
        <v>1</v>
      </c>
      <c r="AJ106" s="39">
        <f>IF(35&gt;=הנחות!C29,1,0)</f>
        <v>1</v>
      </c>
      <c r="AK106" s="39">
        <f>IF(36&gt;=הנחות!C29,1,0)</f>
        <v>1</v>
      </c>
      <c r="AL106" s="39">
        <f>IF(37&gt;=הנחות!C29,1,0)</f>
        <v>1</v>
      </c>
      <c r="AM106" s="39">
        <f>IF(38&gt;=הנחות!C29,1,0)</f>
        <v>1</v>
      </c>
      <c r="AN106" s="39">
        <f>IF(39&gt;=הנחות!C29,1,0)</f>
        <v>1</v>
      </c>
      <c r="AO106" s="39">
        <f>IF(40&gt;=הנחות!C29,1,0)</f>
        <v>1</v>
      </c>
      <c r="AP106" s="39">
        <f>IF(41&gt;=הנחות!C29,1,0)</f>
        <v>1</v>
      </c>
      <c r="AQ106" s="39">
        <f>IF(42&gt;=הנחות!C29,1,0)</f>
        <v>1</v>
      </c>
      <c r="AR106" s="39">
        <f>IF(43&gt;=הנחות!C29,1,0)</f>
        <v>1</v>
      </c>
      <c r="AS106" s="39">
        <f>IF(44&gt;=הנחות!C29,1,0)</f>
        <v>1</v>
      </c>
      <c r="AT106" s="39">
        <f>IF(45&gt;=הנחות!C29,1,0)</f>
        <v>1</v>
      </c>
      <c r="AU106" s="39">
        <f>IF(46&gt;=הנחות!C29,1,0)</f>
        <v>1</v>
      </c>
      <c r="AV106" s="39">
        <f>IF(47&gt;=הנחות!C29,1,0)</f>
        <v>1</v>
      </c>
      <c r="AW106" s="39">
        <f>IF(48&gt;=הנחות!C29,1,0)</f>
        <v>1</v>
      </c>
      <c r="AX106" s="39">
        <f>IF(49&gt;=הנחות!C29,1,0)</f>
        <v>1</v>
      </c>
      <c r="AY106" s="39">
        <f>IF(50&gt;=הנחות!C29,1,0)</f>
        <v>1</v>
      </c>
      <c r="AZ106" s="39">
        <f>IF(51&gt;=הנחות!C29,1,0)</f>
        <v>1</v>
      </c>
      <c r="BA106" s="39">
        <f>IF(52&gt;=הנחות!C29,1,0)</f>
        <v>1</v>
      </c>
      <c r="BB106" s="39">
        <f>IF(53&gt;=הנחות!C29,1,0)</f>
        <v>1</v>
      </c>
      <c r="BC106" s="39">
        <f>IF(54&gt;=הנחות!C29,1,0)</f>
        <v>1</v>
      </c>
      <c r="BD106" s="39">
        <f>IF(55&gt;=הנחות!C29,1,0)</f>
        <v>1</v>
      </c>
      <c r="BE106" s="39">
        <f>IF(56&gt;=הנחות!C29,1,0)</f>
        <v>1</v>
      </c>
      <c r="BF106" s="39">
        <f>IF(57&gt;=הנחות!C29,1,0)</f>
        <v>1</v>
      </c>
      <c r="BG106" s="39">
        <f>IF(58&gt;=הנחות!C29,1,0)</f>
        <v>1</v>
      </c>
      <c r="BH106" s="39">
        <f>IF(59&gt;=הנחות!C29,1,0)</f>
        <v>1</v>
      </c>
      <c r="BI106" s="39">
        <f>IF(60&gt;=הנחות!C29,1,0)</f>
        <v>1</v>
      </c>
    </row>
    <row r="107" spans="1:61" x14ac:dyDescent="0.25">
      <c r="A107" s="31" t="s">
        <v>237</v>
      </c>
      <c r="B107" s="39">
        <f>IF(1&gt;=הנחות!C30,1,0)</f>
        <v>0</v>
      </c>
      <c r="C107" s="39">
        <f>IF(2&gt;=הנחות!C30,1,0)</f>
        <v>0</v>
      </c>
      <c r="D107" s="39">
        <f>IF(3&gt;=הנחות!C30,1,0)</f>
        <v>0</v>
      </c>
      <c r="E107" s="39">
        <f>IF(4&gt;=הנחות!C30,1,0)</f>
        <v>0</v>
      </c>
      <c r="F107" s="39">
        <f>IF(5&gt;=הנחות!C30,1,0)</f>
        <v>0</v>
      </c>
      <c r="G107" s="39">
        <f>IF(6&gt;=הנחות!C30,1,0)</f>
        <v>0</v>
      </c>
      <c r="H107" s="39">
        <f>IF(7&gt;=הנחות!C30,1,0)</f>
        <v>0</v>
      </c>
      <c r="I107" s="39">
        <f>IF(8&gt;=הנחות!C30,1,0)</f>
        <v>0</v>
      </c>
      <c r="J107" s="39">
        <f>IF(9&gt;=הנחות!C30,1,0)</f>
        <v>0</v>
      </c>
      <c r="K107" s="39">
        <f>IF(10&gt;=הנחות!C30,1,0)</f>
        <v>0</v>
      </c>
      <c r="L107" s="39">
        <f>IF(11&gt;=הנחות!C30,1,0)</f>
        <v>0</v>
      </c>
      <c r="M107" s="39">
        <f>IF(12&gt;=הנחות!C30,1,0)</f>
        <v>1</v>
      </c>
      <c r="N107" s="39">
        <f>IF(13&gt;=הנחות!C30,1,0)</f>
        <v>1</v>
      </c>
      <c r="O107" s="39">
        <f>IF(14&gt;=הנחות!C30,1,0)</f>
        <v>1</v>
      </c>
      <c r="P107" s="39">
        <f>IF(15&gt;=הנחות!C30,1,0)</f>
        <v>1</v>
      </c>
      <c r="Q107" s="39">
        <f>IF(16&gt;=הנחות!C30,1,0)</f>
        <v>1</v>
      </c>
      <c r="R107" s="39">
        <f>IF(17&gt;=הנחות!C30,1,0)</f>
        <v>1</v>
      </c>
      <c r="S107" s="39">
        <f>IF(18&gt;=הנחות!C30,1,0)</f>
        <v>1</v>
      </c>
      <c r="T107" s="39">
        <f>IF(19&gt;=הנחות!C30,1,0)</f>
        <v>1</v>
      </c>
      <c r="U107" s="39">
        <f>IF(20&gt;=הנחות!C30,1,0)</f>
        <v>1</v>
      </c>
      <c r="V107" s="39">
        <f>IF(21&gt;=הנחות!C30,1,0)</f>
        <v>1</v>
      </c>
      <c r="W107" s="39">
        <f>IF(22&gt;=הנחות!C30,1,0)</f>
        <v>1</v>
      </c>
      <c r="X107" s="39">
        <f>IF(23&gt;=הנחות!C30,1,0)</f>
        <v>1</v>
      </c>
      <c r="Y107" s="39">
        <f>IF(24&gt;=הנחות!C30,1,0)</f>
        <v>1</v>
      </c>
      <c r="Z107" s="39">
        <f>IF(25&gt;=הנחות!C30,1,0)</f>
        <v>1</v>
      </c>
      <c r="AA107" s="39">
        <f>IF(26&gt;=הנחות!C30,1,0)</f>
        <v>1</v>
      </c>
      <c r="AB107" s="39">
        <f>IF(27&gt;=הנחות!C30,1,0)</f>
        <v>1</v>
      </c>
      <c r="AC107" s="39">
        <f>IF(28&gt;=הנחות!C30,1,0)</f>
        <v>1</v>
      </c>
      <c r="AD107" s="39">
        <f>IF(29&gt;=הנחות!C30,1,0)</f>
        <v>1</v>
      </c>
      <c r="AE107" s="39">
        <f>IF(30&gt;=הנחות!C30,1,0)</f>
        <v>1</v>
      </c>
      <c r="AF107" s="39">
        <f>IF(31&gt;=הנחות!C30,1,0)</f>
        <v>1</v>
      </c>
      <c r="AG107" s="39">
        <f>IF(32&gt;=הנחות!C30,1,0)</f>
        <v>1</v>
      </c>
      <c r="AH107" s="39">
        <f>IF(33&gt;=הנחות!C30,1,0)</f>
        <v>1</v>
      </c>
      <c r="AI107" s="39">
        <f>IF(34&gt;=הנחות!C30,1,0)</f>
        <v>1</v>
      </c>
      <c r="AJ107" s="39">
        <f>IF(35&gt;=הנחות!C30,1,0)</f>
        <v>1</v>
      </c>
      <c r="AK107" s="39">
        <f>IF(36&gt;=הנחות!C30,1,0)</f>
        <v>1</v>
      </c>
      <c r="AL107" s="39">
        <f>IF(37&gt;=הנחות!C30,1,0)</f>
        <v>1</v>
      </c>
      <c r="AM107" s="39">
        <f>IF(38&gt;=הנחות!C30,1,0)</f>
        <v>1</v>
      </c>
      <c r="AN107" s="39">
        <f>IF(39&gt;=הנחות!C30,1,0)</f>
        <v>1</v>
      </c>
      <c r="AO107" s="39">
        <f>IF(40&gt;=הנחות!C30,1,0)</f>
        <v>1</v>
      </c>
      <c r="AP107" s="39">
        <f>IF(41&gt;=הנחות!C30,1,0)</f>
        <v>1</v>
      </c>
      <c r="AQ107" s="39">
        <f>IF(42&gt;=הנחות!C30,1,0)</f>
        <v>1</v>
      </c>
      <c r="AR107" s="39">
        <f>IF(43&gt;=הנחות!C30,1,0)</f>
        <v>1</v>
      </c>
      <c r="AS107" s="39">
        <f>IF(44&gt;=הנחות!C30,1,0)</f>
        <v>1</v>
      </c>
      <c r="AT107" s="39">
        <f>IF(45&gt;=הנחות!C30,1,0)</f>
        <v>1</v>
      </c>
      <c r="AU107" s="39">
        <f>IF(46&gt;=הנחות!C30,1,0)</f>
        <v>1</v>
      </c>
      <c r="AV107" s="39">
        <f>IF(47&gt;=הנחות!C30,1,0)</f>
        <v>1</v>
      </c>
      <c r="AW107" s="39">
        <f>IF(48&gt;=הנחות!C30,1,0)</f>
        <v>1</v>
      </c>
      <c r="AX107" s="39">
        <f>IF(49&gt;=הנחות!C30,1,0)</f>
        <v>1</v>
      </c>
      <c r="AY107" s="39">
        <f>IF(50&gt;=הנחות!C30,1,0)</f>
        <v>1</v>
      </c>
      <c r="AZ107" s="39">
        <f>IF(51&gt;=הנחות!C30,1,0)</f>
        <v>1</v>
      </c>
      <c r="BA107" s="39">
        <f>IF(52&gt;=הנחות!C30,1,0)</f>
        <v>1</v>
      </c>
      <c r="BB107" s="39">
        <f>IF(53&gt;=הנחות!C30,1,0)</f>
        <v>1</v>
      </c>
      <c r="BC107" s="39">
        <f>IF(54&gt;=הנחות!C30,1,0)</f>
        <v>1</v>
      </c>
      <c r="BD107" s="39">
        <f>IF(55&gt;=הנחות!C30,1,0)</f>
        <v>1</v>
      </c>
      <c r="BE107" s="39">
        <f>IF(56&gt;=הנחות!C30,1,0)</f>
        <v>1</v>
      </c>
      <c r="BF107" s="39">
        <f>IF(57&gt;=הנחות!C30,1,0)</f>
        <v>1</v>
      </c>
      <c r="BG107" s="39">
        <f>IF(58&gt;=הנחות!C30,1,0)</f>
        <v>1</v>
      </c>
      <c r="BH107" s="39">
        <f>IF(59&gt;=הנחות!C30,1,0)</f>
        <v>1</v>
      </c>
      <c r="BI107" s="39">
        <f>IF(60&gt;=הנחות!C30,1,0)</f>
        <v>1</v>
      </c>
    </row>
    <row r="108" spans="1:61" x14ac:dyDescent="0.25">
      <c r="A108" s="31" t="s">
        <v>238</v>
      </c>
      <c r="B108" s="39">
        <f>IF(1&gt;=הנחות!C31,1,0)</f>
        <v>0</v>
      </c>
      <c r="C108" s="39">
        <f>IF(2&gt;=הנחות!C31,1,0)</f>
        <v>0</v>
      </c>
      <c r="D108" s="39">
        <f>IF(3&gt;=הנחות!C31,1,0)</f>
        <v>0</v>
      </c>
      <c r="E108" s="39">
        <f>IF(4&gt;=הנחות!C31,1,0)</f>
        <v>0</v>
      </c>
      <c r="F108" s="39">
        <f>IF(5&gt;=הנחות!C31,1,0)</f>
        <v>0</v>
      </c>
      <c r="G108" s="39">
        <f>IF(6&gt;=הנחות!C31,1,0)</f>
        <v>0</v>
      </c>
      <c r="H108" s="39">
        <f>IF(7&gt;=הנחות!C31,1,0)</f>
        <v>0</v>
      </c>
      <c r="I108" s="39">
        <f>IF(8&gt;=הנחות!C31,1,0)</f>
        <v>0</v>
      </c>
      <c r="J108" s="39">
        <f>IF(9&gt;=הנחות!C31,1,0)</f>
        <v>0</v>
      </c>
      <c r="K108" s="39">
        <f>IF(10&gt;=הנחות!C31,1,0)</f>
        <v>0</v>
      </c>
      <c r="L108" s="39">
        <f>IF(11&gt;=הנחות!C31,1,0)</f>
        <v>0</v>
      </c>
      <c r="M108" s="39">
        <f>IF(12&gt;=הנחות!C31,1,0)</f>
        <v>1</v>
      </c>
      <c r="N108" s="39">
        <f>IF(13&gt;=הנחות!C31,1,0)</f>
        <v>1</v>
      </c>
      <c r="O108" s="39">
        <f>IF(14&gt;=הנחות!C31,1,0)</f>
        <v>1</v>
      </c>
      <c r="P108" s="39">
        <f>IF(15&gt;=הנחות!C31,1,0)</f>
        <v>1</v>
      </c>
      <c r="Q108" s="39">
        <f>IF(16&gt;=הנחות!C31,1,0)</f>
        <v>1</v>
      </c>
      <c r="R108" s="39">
        <f>IF(17&gt;=הנחות!C31,1,0)</f>
        <v>1</v>
      </c>
      <c r="S108" s="39">
        <f>IF(18&gt;=הנחות!C31,1,0)</f>
        <v>1</v>
      </c>
      <c r="T108" s="39">
        <f>IF(19&gt;=הנחות!C31,1,0)</f>
        <v>1</v>
      </c>
      <c r="U108" s="39">
        <f>IF(20&gt;=הנחות!C31,1,0)</f>
        <v>1</v>
      </c>
      <c r="V108" s="39">
        <f>IF(21&gt;=הנחות!C31,1,0)</f>
        <v>1</v>
      </c>
      <c r="W108" s="39">
        <f>IF(22&gt;=הנחות!C31,1,0)</f>
        <v>1</v>
      </c>
      <c r="X108" s="39">
        <f>IF(23&gt;=הנחות!C31,1,0)</f>
        <v>1</v>
      </c>
      <c r="Y108" s="39">
        <f>IF(24&gt;=הנחות!C31,1,0)</f>
        <v>1</v>
      </c>
      <c r="Z108" s="39">
        <f>IF(25&gt;=הנחות!C31,1,0)</f>
        <v>1</v>
      </c>
      <c r="AA108" s="39">
        <f>IF(26&gt;=הנחות!C31,1,0)</f>
        <v>1</v>
      </c>
      <c r="AB108" s="39">
        <f>IF(27&gt;=הנחות!C31,1,0)</f>
        <v>1</v>
      </c>
      <c r="AC108" s="39">
        <f>IF(28&gt;=הנחות!C31,1,0)</f>
        <v>1</v>
      </c>
      <c r="AD108" s="39">
        <f>IF(29&gt;=הנחות!C31,1,0)</f>
        <v>1</v>
      </c>
      <c r="AE108" s="39">
        <f>IF(30&gt;=הנחות!C31,1,0)</f>
        <v>1</v>
      </c>
      <c r="AF108" s="39">
        <f>IF(31&gt;=הנחות!C31,1,0)</f>
        <v>1</v>
      </c>
      <c r="AG108" s="39">
        <f>IF(32&gt;=הנחות!C31,1,0)</f>
        <v>1</v>
      </c>
      <c r="AH108" s="39">
        <f>IF(33&gt;=הנחות!C31,1,0)</f>
        <v>1</v>
      </c>
      <c r="AI108" s="39">
        <f>IF(34&gt;=הנחות!C31,1,0)</f>
        <v>1</v>
      </c>
      <c r="AJ108" s="39">
        <f>IF(35&gt;=הנחות!C31,1,0)</f>
        <v>1</v>
      </c>
      <c r="AK108" s="39">
        <f>IF(36&gt;=הנחות!C31,1,0)</f>
        <v>1</v>
      </c>
      <c r="AL108" s="39">
        <f>IF(37&gt;=הנחות!C31,1,0)</f>
        <v>1</v>
      </c>
      <c r="AM108" s="39">
        <f>IF(38&gt;=הנחות!C31,1,0)</f>
        <v>1</v>
      </c>
      <c r="AN108" s="39">
        <f>IF(39&gt;=הנחות!C31,1,0)</f>
        <v>1</v>
      </c>
      <c r="AO108" s="39">
        <f>IF(40&gt;=הנחות!C31,1,0)</f>
        <v>1</v>
      </c>
      <c r="AP108" s="39">
        <f>IF(41&gt;=הנחות!C31,1,0)</f>
        <v>1</v>
      </c>
      <c r="AQ108" s="39">
        <f>IF(42&gt;=הנחות!C31,1,0)</f>
        <v>1</v>
      </c>
      <c r="AR108" s="39">
        <f>IF(43&gt;=הנחות!C31,1,0)</f>
        <v>1</v>
      </c>
      <c r="AS108" s="39">
        <f>IF(44&gt;=הנחות!C31,1,0)</f>
        <v>1</v>
      </c>
      <c r="AT108" s="39">
        <f>IF(45&gt;=הנחות!C31,1,0)</f>
        <v>1</v>
      </c>
      <c r="AU108" s="39">
        <f>IF(46&gt;=הנחות!C31,1,0)</f>
        <v>1</v>
      </c>
      <c r="AV108" s="39">
        <f>IF(47&gt;=הנחות!C31,1,0)</f>
        <v>1</v>
      </c>
      <c r="AW108" s="39">
        <f>IF(48&gt;=הנחות!C31,1,0)</f>
        <v>1</v>
      </c>
      <c r="AX108" s="39">
        <f>IF(49&gt;=הנחות!C31,1,0)</f>
        <v>1</v>
      </c>
      <c r="AY108" s="39">
        <f>IF(50&gt;=הנחות!C31,1,0)</f>
        <v>1</v>
      </c>
      <c r="AZ108" s="39">
        <f>IF(51&gt;=הנחות!C31,1,0)</f>
        <v>1</v>
      </c>
      <c r="BA108" s="39">
        <f>IF(52&gt;=הנחות!C31,1,0)</f>
        <v>1</v>
      </c>
      <c r="BB108" s="39">
        <f>IF(53&gt;=הנחות!C31,1,0)</f>
        <v>1</v>
      </c>
      <c r="BC108" s="39">
        <f>IF(54&gt;=הנחות!C31,1,0)</f>
        <v>1</v>
      </c>
      <c r="BD108" s="39">
        <f>IF(55&gt;=הנחות!C31,1,0)</f>
        <v>1</v>
      </c>
      <c r="BE108" s="39">
        <f>IF(56&gt;=הנחות!C31,1,0)</f>
        <v>1</v>
      </c>
      <c r="BF108" s="39">
        <f>IF(57&gt;=הנחות!C31,1,0)</f>
        <v>1</v>
      </c>
      <c r="BG108" s="39">
        <f>IF(58&gt;=הנחות!C31,1,0)</f>
        <v>1</v>
      </c>
      <c r="BH108" s="39">
        <f>IF(59&gt;=הנחות!C31,1,0)</f>
        <v>1</v>
      </c>
      <c r="BI108" s="39">
        <f>IF(60&gt;=הנחות!C31,1,0)</f>
        <v>1</v>
      </c>
    </row>
    <row r="109" spans="1:61" x14ac:dyDescent="0.25">
      <c r="A109" s="31" t="s">
        <v>239</v>
      </c>
      <c r="B109" s="39">
        <f>IF(1&gt;=הנחות!C32,1,0)</f>
        <v>0</v>
      </c>
      <c r="C109" s="39">
        <f>IF(2&gt;=הנחות!C32,1,0)</f>
        <v>1</v>
      </c>
      <c r="D109" s="39">
        <f>IF(3&gt;=הנחות!C32,1,0)</f>
        <v>1</v>
      </c>
      <c r="E109" s="39">
        <f>IF(4&gt;=הנחות!C32,1,0)</f>
        <v>1</v>
      </c>
      <c r="F109" s="39">
        <f>IF(5&gt;=הנחות!C32,1,0)</f>
        <v>1</v>
      </c>
      <c r="G109" s="39">
        <f>IF(6&gt;=הנחות!C32,1,0)</f>
        <v>1</v>
      </c>
      <c r="H109" s="39">
        <f>IF(7&gt;=הנחות!C32,1,0)</f>
        <v>1</v>
      </c>
      <c r="I109" s="39">
        <f>IF(8&gt;=הנחות!C32,1,0)</f>
        <v>1</v>
      </c>
      <c r="J109" s="39">
        <f>IF(9&gt;=הנחות!C32,1,0)</f>
        <v>1</v>
      </c>
      <c r="K109" s="39">
        <f>IF(10&gt;=הנחות!C32,1,0)</f>
        <v>1</v>
      </c>
      <c r="L109" s="39">
        <f>IF(11&gt;=הנחות!C32,1,0)</f>
        <v>1</v>
      </c>
      <c r="M109" s="39">
        <f>IF(12&gt;=הנחות!C32,1,0)</f>
        <v>1</v>
      </c>
      <c r="N109" s="39">
        <f>IF(13&gt;=הנחות!C32,1,0)</f>
        <v>1</v>
      </c>
      <c r="O109" s="39">
        <f>IF(14&gt;=הנחות!C32,1,0)</f>
        <v>1</v>
      </c>
      <c r="P109" s="39">
        <f>IF(15&gt;=הנחות!C32,1,0)</f>
        <v>1</v>
      </c>
      <c r="Q109" s="39">
        <f>IF(16&gt;=הנחות!C32,1,0)</f>
        <v>1</v>
      </c>
      <c r="R109" s="39">
        <f>IF(17&gt;=הנחות!C32,1,0)</f>
        <v>1</v>
      </c>
      <c r="S109" s="39">
        <f>IF(18&gt;=הנחות!C32,1,0)</f>
        <v>1</v>
      </c>
      <c r="T109" s="39">
        <f>IF(19&gt;=הנחות!C32,1,0)</f>
        <v>1</v>
      </c>
      <c r="U109" s="39">
        <f>IF(20&gt;=הנחות!C32,1,0)</f>
        <v>1</v>
      </c>
      <c r="V109" s="39">
        <f>IF(21&gt;=הנחות!C32,1,0)</f>
        <v>1</v>
      </c>
      <c r="W109" s="39">
        <f>IF(22&gt;=הנחות!C32,1,0)</f>
        <v>1</v>
      </c>
      <c r="X109" s="39">
        <f>IF(23&gt;=הנחות!C32,1,0)</f>
        <v>1</v>
      </c>
      <c r="Y109" s="39">
        <f>IF(24&gt;=הנחות!C32,1,0)</f>
        <v>1</v>
      </c>
      <c r="Z109" s="39">
        <f>IF(25&gt;=הנחות!C32,1,0)</f>
        <v>1</v>
      </c>
      <c r="AA109" s="39">
        <f>IF(26&gt;=הנחות!C32,1,0)</f>
        <v>1</v>
      </c>
      <c r="AB109" s="39">
        <f>IF(27&gt;=הנחות!C32,1,0)</f>
        <v>1</v>
      </c>
      <c r="AC109" s="39">
        <f>IF(28&gt;=הנחות!C32,1,0)</f>
        <v>1</v>
      </c>
      <c r="AD109" s="39">
        <f>IF(29&gt;=הנחות!C32,1,0)</f>
        <v>1</v>
      </c>
      <c r="AE109" s="39">
        <f>IF(30&gt;=הנחות!C32,1,0)</f>
        <v>1</v>
      </c>
      <c r="AF109" s="39">
        <f>IF(31&gt;=הנחות!C32,1,0)</f>
        <v>1</v>
      </c>
      <c r="AG109" s="39">
        <f>IF(32&gt;=הנחות!C32,1,0)</f>
        <v>1</v>
      </c>
      <c r="AH109" s="39">
        <f>IF(33&gt;=הנחות!C32,1,0)</f>
        <v>1</v>
      </c>
      <c r="AI109" s="39">
        <f>IF(34&gt;=הנחות!C32,1,0)</f>
        <v>1</v>
      </c>
      <c r="AJ109" s="39">
        <f>IF(35&gt;=הנחות!C32,1,0)</f>
        <v>1</v>
      </c>
      <c r="AK109" s="39">
        <f>IF(36&gt;=הנחות!C32,1,0)</f>
        <v>1</v>
      </c>
      <c r="AL109" s="39">
        <f>IF(37&gt;=הנחות!C32,1,0)</f>
        <v>1</v>
      </c>
      <c r="AM109" s="39">
        <f>IF(38&gt;=הנחות!C32,1,0)</f>
        <v>1</v>
      </c>
      <c r="AN109" s="39">
        <f>IF(39&gt;=הנחות!C32,1,0)</f>
        <v>1</v>
      </c>
      <c r="AO109" s="39">
        <f>IF(40&gt;=הנחות!C32,1,0)</f>
        <v>1</v>
      </c>
      <c r="AP109" s="39">
        <f>IF(41&gt;=הנחות!C32,1,0)</f>
        <v>1</v>
      </c>
      <c r="AQ109" s="39">
        <f>IF(42&gt;=הנחות!C32,1,0)</f>
        <v>1</v>
      </c>
      <c r="AR109" s="39">
        <f>IF(43&gt;=הנחות!C32,1,0)</f>
        <v>1</v>
      </c>
      <c r="AS109" s="39">
        <f>IF(44&gt;=הנחות!C32,1,0)</f>
        <v>1</v>
      </c>
      <c r="AT109" s="39">
        <f>IF(45&gt;=הנחות!C32,1,0)</f>
        <v>1</v>
      </c>
      <c r="AU109" s="39">
        <f>IF(46&gt;=הנחות!C32,1,0)</f>
        <v>1</v>
      </c>
      <c r="AV109" s="39">
        <f>IF(47&gt;=הנחות!C32,1,0)</f>
        <v>1</v>
      </c>
      <c r="AW109" s="39">
        <f>IF(48&gt;=הנחות!C32,1,0)</f>
        <v>1</v>
      </c>
      <c r="AX109" s="39">
        <f>IF(49&gt;=הנחות!C32,1,0)</f>
        <v>1</v>
      </c>
      <c r="AY109" s="39">
        <f>IF(50&gt;=הנחות!C32,1,0)</f>
        <v>1</v>
      </c>
      <c r="AZ109" s="39">
        <f>IF(51&gt;=הנחות!C32,1,0)</f>
        <v>1</v>
      </c>
      <c r="BA109" s="39">
        <f>IF(52&gt;=הנחות!C32,1,0)</f>
        <v>1</v>
      </c>
      <c r="BB109" s="39">
        <f>IF(53&gt;=הנחות!C32,1,0)</f>
        <v>1</v>
      </c>
      <c r="BC109" s="39">
        <f>IF(54&gt;=הנחות!C32,1,0)</f>
        <v>1</v>
      </c>
      <c r="BD109" s="39">
        <f>IF(55&gt;=הנחות!C32,1,0)</f>
        <v>1</v>
      </c>
      <c r="BE109" s="39">
        <f>IF(56&gt;=הנחות!C32,1,0)</f>
        <v>1</v>
      </c>
      <c r="BF109" s="39">
        <f>IF(57&gt;=הנחות!C32,1,0)</f>
        <v>1</v>
      </c>
      <c r="BG109" s="39">
        <f>IF(58&gt;=הנחות!C32,1,0)</f>
        <v>1</v>
      </c>
      <c r="BH109" s="39">
        <f>IF(59&gt;=הנחות!C32,1,0)</f>
        <v>1</v>
      </c>
      <c r="BI109" s="39">
        <f>IF(60&gt;=הנחות!C32,1,0)</f>
        <v>1</v>
      </c>
    </row>
    <row r="110" spans="1:61" x14ac:dyDescent="0.25">
      <c r="A110" s="31" t="s">
        <v>240</v>
      </c>
      <c r="B110" s="39">
        <f>IF(1&gt;=הנחות!C33,1,0)</f>
        <v>0</v>
      </c>
      <c r="C110" s="39">
        <f>IF(2&gt;=הנחות!C33,1,0)</f>
        <v>0</v>
      </c>
      <c r="D110" s="39">
        <f>IF(3&gt;=הנחות!C33,1,0)</f>
        <v>0</v>
      </c>
      <c r="E110" s="39">
        <f>IF(4&gt;=הנחות!C33,1,0)</f>
        <v>0</v>
      </c>
      <c r="F110" s="39">
        <f>IF(5&gt;=הנחות!C33,1,0)</f>
        <v>0</v>
      </c>
      <c r="G110" s="39">
        <f>IF(6&gt;=הנחות!C33,1,0)</f>
        <v>0</v>
      </c>
      <c r="H110" s="39">
        <f>IF(7&gt;=הנחות!C33,1,0)</f>
        <v>0</v>
      </c>
      <c r="I110" s="39">
        <f>IF(8&gt;=הנחות!C33,1,0)</f>
        <v>0</v>
      </c>
      <c r="J110" s="39">
        <f>IF(9&gt;=הנחות!C33,1,0)</f>
        <v>0</v>
      </c>
      <c r="K110" s="39">
        <f>IF(10&gt;=הנחות!C33,1,0)</f>
        <v>0</v>
      </c>
      <c r="L110" s="39">
        <f>IF(11&gt;=הנחות!C33,1,0)</f>
        <v>0</v>
      </c>
      <c r="M110" s="39">
        <f>IF(12&gt;=הנחות!C33,1,0)</f>
        <v>0</v>
      </c>
      <c r="N110" s="39">
        <f>IF(13&gt;=הנחות!C33,1,0)</f>
        <v>0</v>
      </c>
      <c r="O110" s="39">
        <f>IF(14&gt;=הנחות!C33,1,0)</f>
        <v>0</v>
      </c>
      <c r="P110" s="39">
        <f>IF(15&gt;=הנחות!C33,1,0)</f>
        <v>0</v>
      </c>
      <c r="Q110" s="39">
        <f>IF(16&gt;=הנחות!C33,1,0)</f>
        <v>0</v>
      </c>
      <c r="R110" s="39">
        <f>IF(17&gt;=הנחות!C33,1,0)</f>
        <v>0</v>
      </c>
      <c r="S110" s="39">
        <f>IF(18&gt;=הנחות!C33,1,0)</f>
        <v>0</v>
      </c>
      <c r="T110" s="39">
        <f>IF(19&gt;=הנחות!C33,1,0)</f>
        <v>0</v>
      </c>
      <c r="U110" s="39">
        <f>IF(20&gt;=הנחות!C33,1,0)</f>
        <v>1</v>
      </c>
      <c r="V110" s="39">
        <f>IF(21&gt;=הנחות!C33,1,0)</f>
        <v>1</v>
      </c>
      <c r="W110" s="39">
        <f>IF(22&gt;=הנחות!C33,1,0)</f>
        <v>1</v>
      </c>
      <c r="X110" s="39">
        <f>IF(23&gt;=הנחות!C33,1,0)</f>
        <v>1</v>
      </c>
      <c r="Y110" s="39">
        <f>IF(24&gt;=הנחות!C33,1,0)</f>
        <v>1</v>
      </c>
      <c r="Z110" s="39">
        <f>IF(25&gt;=הנחות!C33,1,0)</f>
        <v>1</v>
      </c>
      <c r="AA110" s="39">
        <f>IF(26&gt;=הנחות!C33,1,0)</f>
        <v>1</v>
      </c>
      <c r="AB110" s="39">
        <f>IF(27&gt;=הנחות!C33,1,0)</f>
        <v>1</v>
      </c>
      <c r="AC110" s="39">
        <f>IF(28&gt;=הנחות!C33,1,0)</f>
        <v>1</v>
      </c>
      <c r="AD110" s="39">
        <f>IF(29&gt;=הנחות!C33,1,0)</f>
        <v>1</v>
      </c>
      <c r="AE110" s="39">
        <f>IF(30&gt;=הנחות!C33,1,0)</f>
        <v>1</v>
      </c>
      <c r="AF110" s="39">
        <f>IF(31&gt;=הנחות!C33,1,0)</f>
        <v>1</v>
      </c>
      <c r="AG110" s="39">
        <f>IF(32&gt;=הנחות!C33,1,0)</f>
        <v>1</v>
      </c>
      <c r="AH110" s="39">
        <f>IF(33&gt;=הנחות!C33,1,0)</f>
        <v>1</v>
      </c>
      <c r="AI110" s="39">
        <f>IF(34&gt;=הנחות!C33,1,0)</f>
        <v>1</v>
      </c>
      <c r="AJ110" s="39">
        <f>IF(35&gt;=הנחות!C33,1,0)</f>
        <v>1</v>
      </c>
      <c r="AK110" s="39">
        <f>IF(36&gt;=הנחות!C33,1,0)</f>
        <v>1</v>
      </c>
      <c r="AL110" s="39">
        <f>IF(37&gt;=הנחות!C33,1,0)</f>
        <v>1</v>
      </c>
      <c r="AM110" s="39">
        <f>IF(38&gt;=הנחות!C33,1,0)</f>
        <v>1</v>
      </c>
      <c r="AN110" s="39">
        <f>IF(39&gt;=הנחות!C33,1,0)</f>
        <v>1</v>
      </c>
      <c r="AO110" s="39">
        <f>IF(40&gt;=הנחות!C33,1,0)</f>
        <v>1</v>
      </c>
      <c r="AP110" s="39">
        <f>IF(41&gt;=הנחות!C33,1,0)</f>
        <v>1</v>
      </c>
      <c r="AQ110" s="39">
        <f>IF(42&gt;=הנחות!C33,1,0)</f>
        <v>1</v>
      </c>
      <c r="AR110" s="39">
        <f>IF(43&gt;=הנחות!C33,1,0)</f>
        <v>1</v>
      </c>
      <c r="AS110" s="39">
        <f>IF(44&gt;=הנחות!C33,1,0)</f>
        <v>1</v>
      </c>
      <c r="AT110" s="39">
        <f>IF(45&gt;=הנחות!C33,1,0)</f>
        <v>1</v>
      </c>
      <c r="AU110" s="39">
        <f>IF(46&gt;=הנחות!C33,1,0)</f>
        <v>1</v>
      </c>
      <c r="AV110" s="39">
        <f>IF(47&gt;=הנחות!C33,1,0)</f>
        <v>1</v>
      </c>
      <c r="AW110" s="39">
        <f>IF(48&gt;=הנחות!C33,1,0)</f>
        <v>1</v>
      </c>
      <c r="AX110" s="39">
        <f>IF(49&gt;=הנחות!C33,1,0)</f>
        <v>1</v>
      </c>
      <c r="AY110" s="39">
        <f>IF(50&gt;=הנחות!C33,1,0)</f>
        <v>1</v>
      </c>
      <c r="AZ110" s="39">
        <f>IF(51&gt;=הנחות!C33,1,0)</f>
        <v>1</v>
      </c>
      <c r="BA110" s="39">
        <f>IF(52&gt;=הנחות!C33,1,0)</f>
        <v>1</v>
      </c>
      <c r="BB110" s="39">
        <f>IF(53&gt;=הנחות!C33,1,0)</f>
        <v>1</v>
      </c>
      <c r="BC110" s="39">
        <f>IF(54&gt;=הנחות!C33,1,0)</f>
        <v>1</v>
      </c>
      <c r="BD110" s="39">
        <f>IF(55&gt;=הנחות!C33,1,0)</f>
        <v>1</v>
      </c>
      <c r="BE110" s="39">
        <f>IF(56&gt;=הנחות!C33,1,0)</f>
        <v>1</v>
      </c>
      <c r="BF110" s="39">
        <f>IF(57&gt;=הנחות!C33,1,0)</f>
        <v>1</v>
      </c>
      <c r="BG110" s="39">
        <f>IF(58&gt;=הנחות!C33,1,0)</f>
        <v>1</v>
      </c>
      <c r="BH110" s="39">
        <f>IF(59&gt;=הנחות!C33,1,0)</f>
        <v>1</v>
      </c>
      <c r="BI110" s="39">
        <f>IF(60&gt;=הנחות!C33,1,0)</f>
        <v>1</v>
      </c>
    </row>
    <row r="111" spans="1:61" x14ac:dyDescent="0.25">
      <c r="A111" s="31" t="s">
        <v>241</v>
      </c>
      <c r="B111" s="39">
        <f>IF(1&gt;=הנחות!C34,1,0)</f>
        <v>0</v>
      </c>
      <c r="C111" s="39">
        <f>IF(2&gt;=הנחות!C34,1,0)</f>
        <v>0</v>
      </c>
      <c r="D111" s="39">
        <f>IF(3&gt;=הנחות!C34,1,0)</f>
        <v>0</v>
      </c>
      <c r="E111" s="39">
        <f>IF(4&gt;=הנחות!C34,1,0)</f>
        <v>0</v>
      </c>
      <c r="F111" s="39">
        <f>IF(5&gt;=הנחות!C34,1,0)</f>
        <v>0</v>
      </c>
      <c r="G111" s="39">
        <f>IF(6&gt;=הנחות!C34,1,0)</f>
        <v>0</v>
      </c>
      <c r="H111" s="39">
        <f>IF(7&gt;=הנחות!C34,1,0)</f>
        <v>0</v>
      </c>
      <c r="I111" s="39">
        <f>IF(8&gt;=הנחות!C34,1,0)</f>
        <v>0</v>
      </c>
      <c r="J111" s="39">
        <f>IF(9&gt;=הנחות!C34,1,0)</f>
        <v>0</v>
      </c>
      <c r="K111" s="39">
        <f>IF(10&gt;=הנחות!C34,1,0)</f>
        <v>0</v>
      </c>
      <c r="L111" s="39">
        <f>IF(11&gt;=הנחות!C34,1,0)</f>
        <v>0</v>
      </c>
      <c r="M111" s="39">
        <f>IF(12&gt;=הנחות!C34,1,0)</f>
        <v>0</v>
      </c>
      <c r="N111" s="39">
        <f>IF(13&gt;=הנחות!C34,1,0)</f>
        <v>0</v>
      </c>
      <c r="O111" s="39">
        <f>IF(14&gt;=הנחות!C34,1,0)</f>
        <v>1</v>
      </c>
      <c r="P111" s="39">
        <f>IF(15&gt;=הנחות!C34,1,0)</f>
        <v>1</v>
      </c>
      <c r="Q111" s="39">
        <f>IF(16&gt;=הנחות!C34,1,0)</f>
        <v>1</v>
      </c>
      <c r="R111" s="39">
        <f>IF(17&gt;=הנחות!C34,1,0)</f>
        <v>1</v>
      </c>
      <c r="S111" s="39">
        <f>IF(18&gt;=הנחות!C34,1,0)</f>
        <v>1</v>
      </c>
      <c r="T111" s="39">
        <f>IF(19&gt;=הנחות!C34,1,0)</f>
        <v>1</v>
      </c>
      <c r="U111" s="39">
        <f>IF(20&gt;=הנחות!C34,1,0)</f>
        <v>1</v>
      </c>
      <c r="V111" s="39">
        <f>IF(21&gt;=הנחות!C34,1,0)</f>
        <v>1</v>
      </c>
      <c r="W111" s="39">
        <f>IF(22&gt;=הנחות!C34,1,0)</f>
        <v>1</v>
      </c>
      <c r="X111" s="39">
        <f>IF(23&gt;=הנחות!C34,1,0)</f>
        <v>1</v>
      </c>
      <c r="Y111" s="39">
        <f>IF(24&gt;=הנחות!C34,1,0)</f>
        <v>1</v>
      </c>
      <c r="Z111" s="39">
        <f>IF(25&gt;=הנחות!C34,1,0)</f>
        <v>1</v>
      </c>
      <c r="AA111" s="39">
        <f>IF(26&gt;=הנחות!C34,1,0)</f>
        <v>1</v>
      </c>
      <c r="AB111" s="39">
        <f>IF(27&gt;=הנחות!C34,1,0)</f>
        <v>1</v>
      </c>
      <c r="AC111" s="39">
        <f>IF(28&gt;=הנחות!C34,1,0)</f>
        <v>1</v>
      </c>
      <c r="AD111" s="39">
        <f>IF(29&gt;=הנחות!C34,1,0)</f>
        <v>1</v>
      </c>
      <c r="AE111" s="39">
        <f>IF(30&gt;=הנחות!C34,1,0)</f>
        <v>1</v>
      </c>
      <c r="AF111" s="39">
        <f>IF(31&gt;=הנחות!C34,1,0)</f>
        <v>1</v>
      </c>
      <c r="AG111" s="39">
        <f>IF(32&gt;=הנחות!C34,1,0)</f>
        <v>1</v>
      </c>
      <c r="AH111" s="39">
        <f>IF(33&gt;=הנחות!C34,1,0)</f>
        <v>1</v>
      </c>
      <c r="AI111" s="39">
        <f>IF(34&gt;=הנחות!C34,1,0)</f>
        <v>1</v>
      </c>
      <c r="AJ111" s="39">
        <f>IF(35&gt;=הנחות!C34,1,0)</f>
        <v>1</v>
      </c>
      <c r="AK111" s="39">
        <f>IF(36&gt;=הנחות!C34,1,0)</f>
        <v>1</v>
      </c>
      <c r="AL111" s="39">
        <f>IF(37&gt;=הנחות!C34,1,0)</f>
        <v>1</v>
      </c>
      <c r="AM111" s="39">
        <f>IF(38&gt;=הנחות!C34,1,0)</f>
        <v>1</v>
      </c>
      <c r="AN111" s="39">
        <f>IF(39&gt;=הנחות!C34,1,0)</f>
        <v>1</v>
      </c>
      <c r="AO111" s="39">
        <f>IF(40&gt;=הנחות!C34,1,0)</f>
        <v>1</v>
      </c>
      <c r="AP111" s="39">
        <f>IF(41&gt;=הנחות!C34,1,0)</f>
        <v>1</v>
      </c>
      <c r="AQ111" s="39">
        <f>IF(42&gt;=הנחות!C34,1,0)</f>
        <v>1</v>
      </c>
      <c r="AR111" s="39">
        <f>IF(43&gt;=הנחות!C34,1,0)</f>
        <v>1</v>
      </c>
      <c r="AS111" s="39">
        <f>IF(44&gt;=הנחות!C34,1,0)</f>
        <v>1</v>
      </c>
      <c r="AT111" s="39">
        <f>IF(45&gt;=הנחות!C34,1,0)</f>
        <v>1</v>
      </c>
      <c r="AU111" s="39">
        <f>IF(46&gt;=הנחות!C34,1,0)</f>
        <v>1</v>
      </c>
      <c r="AV111" s="39">
        <f>IF(47&gt;=הנחות!C34,1,0)</f>
        <v>1</v>
      </c>
      <c r="AW111" s="39">
        <f>IF(48&gt;=הנחות!C34,1,0)</f>
        <v>1</v>
      </c>
      <c r="AX111" s="39">
        <f>IF(49&gt;=הנחות!C34,1,0)</f>
        <v>1</v>
      </c>
      <c r="AY111" s="39">
        <f>IF(50&gt;=הנחות!C34,1,0)</f>
        <v>1</v>
      </c>
      <c r="AZ111" s="39">
        <f>IF(51&gt;=הנחות!C34,1,0)</f>
        <v>1</v>
      </c>
      <c r="BA111" s="39">
        <f>IF(52&gt;=הנחות!C34,1,0)</f>
        <v>1</v>
      </c>
      <c r="BB111" s="39">
        <f>IF(53&gt;=הנחות!C34,1,0)</f>
        <v>1</v>
      </c>
      <c r="BC111" s="39">
        <f>IF(54&gt;=הנחות!C34,1,0)</f>
        <v>1</v>
      </c>
      <c r="BD111" s="39">
        <f>IF(55&gt;=הנחות!C34,1,0)</f>
        <v>1</v>
      </c>
      <c r="BE111" s="39">
        <f>IF(56&gt;=הנחות!C34,1,0)</f>
        <v>1</v>
      </c>
      <c r="BF111" s="39">
        <f>IF(57&gt;=הנחות!C34,1,0)</f>
        <v>1</v>
      </c>
      <c r="BG111" s="39">
        <f>IF(58&gt;=הנחות!C34,1,0)</f>
        <v>1</v>
      </c>
      <c r="BH111" s="39">
        <f>IF(59&gt;=הנחות!C34,1,0)</f>
        <v>1</v>
      </c>
      <c r="BI111" s="39">
        <f>IF(60&gt;=הנחות!C34,1,0)</f>
        <v>1</v>
      </c>
    </row>
    <row r="112" spans="1:61" x14ac:dyDescent="0.25">
      <c r="A112" s="31" t="s">
        <v>242</v>
      </c>
      <c r="B112" s="39">
        <f>IF(1&gt;=הנחות!C35,1,0)</f>
        <v>0</v>
      </c>
      <c r="C112" s="39">
        <f>IF(2&gt;=הנחות!C35,1,0)</f>
        <v>0</v>
      </c>
      <c r="D112" s="39">
        <f>IF(3&gt;=הנחות!C35,1,0)</f>
        <v>0</v>
      </c>
      <c r="E112" s="39">
        <f>IF(4&gt;=הנחות!C35,1,0)</f>
        <v>0</v>
      </c>
      <c r="F112" s="39">
        <f>IF(5&gt;=הנחות!C35,1,0)</f>
        <v>0</v>
      </c>
      <c r="G112" s="39">
        <f>IF(6&gt;=הנחות!C35,1,0)</f>
        <v>0</v>
      </c>
      <c r="H112" s="39">
        <f>IF(7&gt;=הנחות!C35,1,0)</f>
        <v>0</v>
      </c>
      <c r="I112" s="39">
        <f>IF(8&gt;=הנחות!C35,1,0)</f>
        <v>0</v>
      </c>
      <c r="J112" s="39">
        <f>IF(9&gt;=הנחות!C35,1,0)</f>
        <v>0</v>
      </c>
      <c r="K112" s="39">
        <f>IF(10&gt;=הנחות!C35,1,0)</f>
        <v>0</v>
      </c>
      <c r="L112" s="39">
        <f>IF(11&gt;=הנחות!C35,1,0)</f>
        <v>0</v>
      </c>
      <c r="M112" s="39">
        <f>IF(12&gt;=הנחות!C35,1,0)</f>
        <v>0</v>
      </c>
      <c r="N112" s="39">
        <f>IF(13&gt;=הנחות!C35,1,0)</f>
        <v>0</v>
      </c>
      <c r="O112" s="39">
        <f>IF(14&gt;=הנחות!C35,1,0)</f>
        <v>0</v>
      </c>
      <c r="P112" s="39">
        <f>IF(15&gt;=הנחות!C35,1,0)</f>
        <v>0</v>
      </c>
      <c r="Q112" s="39">
        <f>IF(16&gt;=הנחות!C35,1,0)</f>
        <v>0</v>
      </c>
      <c r="R112" s="39">
        <f>IF(17&gt;=הנחות!C35,1,0)</f>
        <v>0</v>
      </c>
      <c r="S112" s="39">
        <f>IF(18&gt;=הנחות!C35,1,0)</f>
        <v>0</v>
      </c>
      <c r="T112" s="39">
        <f>IF(19&gt;=הנחות!C35,1,0)</f>
        <v>0</v>
      </c>
      <c r="U112" s="39">
        <f>IF(20&gt;=הנחות!C35,1,0)</f>
        <v>0</v>
      </c>
      <c r="V112" s="39">
        <f>IF(21&gt;=הנחות!C35,1,0)</f>
        <v>0</v>
      </c>
      <c r="W112" s="39">
        <f>IF(22&gt;=הנחות!C35,1,0)</f>
        <v>0</v>
      </c>
      <c r="X112" s="39">
        <f>IF(23&gt;=הנחות!C35,1,0)</f>
        <v>0</v>
      </c>
      <c r="Y112" s="39">
        <f>IF(24&gt;=הנחות!C35,1,0)</f>
        <v>0</v>
      </c>
      <c r="Z112" s="39">
        <f>IF(25&gt;=הנחות!C35,1,0)</f>
        <v>1</v>
      </c>
      <c r="AA112" s="39">
        <f>IF(26&gt;=הנחות!C35,1,0)</f>
        <v>1</v>
      </c>
      <c r="AB112" s="39">
        <f>IF(27&gt;=הנחות!C35,1,0)</f>
        <v>1</v>
      </c>
      <c r="AC112" s="39">
        <f>IF(28&gt;=הנחות!C35,1,0)</f>
        <v>1</v>
      </c>
      <c r="AD112" s="39">
        <f>IF(29&gt;=הנחות!C35,1,0)</f>
        <v>1</v>
      </c>
      <c r="AE112" s="39">
        <f>IF(30&gt;=הנחות!C35,1,0)</f>
        <v>1</v>
      </c>
      <c r="AF112" s="39">
        <f>IF(31&gt;=הנחות!C35,1,0)</f>
        <v>1</v>
      </c>
      <c r="AG112" s="39">
        <f>IF(32&gt;=הנחות!C35,1,0)</f>
        <v>1</v>
      </c>
      <c r="AH112" s="39">
        <f>IF(33&gt;=הנחות!C35,1,0)</f>
        <v>1</v>
      </c>
      <c r="AI112" s="39">
        <f>IF(34&gt;=הנחות!C35,1,0)</f>
        <v>1</v>
      </c>
      <c r="AJ112" s="39">
        <f>IF(35&gt;=הנחות!C35,1,0)</f>
        <v>1</v>
      </c>
      <c r="AK112" s="39">
        <f>IF(36&gt;=הנחות!C35,1,0)</f>
        <v>1</v>
      </c>
      <c r="AL112" s="39">
        <f>IF(37&gt;=הנחות!C35,1,0)</f>
        <v>1</v>
      </c>
      <c r="AM112" s="39">
        <f>IF(38&gt;=הנחות!C35,1,0)</f>
        <v>1</v>
      </c>
      <c r="AN112" s="39">
        <f>IF(39&gt;=הנחות!C35,1,0)</f>
        <v>1</v>
      </c>
      <c r="AO112" s="39">
        <f>IF(40&gt;=הנחות!C35,1,0)</f>
        <v>1</v>
      </c>
      <c r="AP112" s="39">
        <f>IF(41&gt;=הנחות!C35,1,0)</f>
        <v>1</v>
      </c>
      <c r="AQ112" s="39">
        <f>IF(42&gt;=הנחות!C35,1,0)</f>
        <v>1</v>
      </c>
      <c r="AR112" s="39">
        <f>IF(43&gt;=הנחות!C35,1,0)</f>
        <v>1</v>
      </c>
      <c r="AS112" s="39">
        <f>IF(44&gt;=הנחות!C35,1,0)</f>
        <v>1</v>
      </c>
      <c r="AT112" s="39">
        <f>IF(45&gt;=הנחות!C35,1,0)</f>
        <v>1</v>
      </c>
      <c r="AU112" s="39">
        <f>IF(46&gt;=הנחות!C35,1,0)</f>
        <v>1</v>
      </c>
      <c r="AV112" s="39">
        <f>IF(47&gt;=הנחות!C35,1,0)</f>
        <v>1</v>
      </c>
      <c r="AW112" s="39">
        <f>IF(48&gt;=הנחות!C35,1,0)</f>
        <v>1</v>
      </c>
      <c r="AX112" s="39">
        <f>IF(49&gt;=הנחות!C35,1,0)</f>
        <v>1</v>
      </c>
      <c r="AY112" s="39">
        <f>IF(50&gt;=הנחות!C35,1,0)</f>
        <v>1</v>
      </c>
      <c r="AZ112" s="39">
        <f>IF(51&gt;=הנחות!C35,1,0)</f>
        <v>1</v>
      </c>
      <c r="BA112" s="39">
        <f>IF(52&gt;=הנחות!C35,1,0)</f>
        <v>1</v>
      </c>
      <c r="BB112" s="39">
        <f>IF(53&gt;=הנחות!C35,1,0)</f>
        <v>1</v>
      </c>
      <c r="BC112" s="39">
        <f>IF(54&gt;=הנחות!C35,1,0)</f>
        <v>1</v>
      </c>
      <c r="BD112" s="39">
        <f>IF(55&gt;=הנחות!C35,1,0)</f>
        <v>1</v>
      </c>
      <c r="BE112" s="39">
        <f>IF(56&gt;=הנחות!C35,1,0)</f>
        <v>1</v>
      </c>
      <c r="BF112" s="39">
        <f>IF(57&gt;=הנחות!C35,1,0)</f>
        <v>1</v>
      </c>
      <c r="BG112" s="39">
        <f>IF(58&gt;=הנחות!C35,1,0)</f>
        <v>1</v>
      </c>
      <c r="BH112" s="39">
        <f>IF(59&gt;=הנחות!C35,1,0)</f>
        <v>1</v>
      </c>
      <c r="BI112" s="39">
        <f>IF(60&gt;=הנחות!C35,1,0)</f>
        <v>1</v>
      </c>
    </row>
    <row r="113" spans="1:61" x14ac:dyDescent="0.25">
      <c r="A113" s="31" t="s">
        <v>243</v>
      </c>
      <c r="B113" s="39">
        <f>IF(1&gt;=הנחות!C36,1,0)</f>
        <v>0</v>
      </c>
      <c r="C113" s="39">
        <f>IF(2&gt;=הנחות!C36,1,0)</f>
        <v>0</v>
      </c>
      <c r="D113" s="39">
        <f>IF(3&gt;=הנחות!C36,1,0)</f>
        <v>0</v>
      </c>
      <c r="E113" s="39">
        <f>IF(4&gt;=הנחות!C36,1,0)</f>
        <v>0</v>
      </c>
      <c r="F113" s="39">
        <f>IF(5&gt;=הנחות!C36,1,0)</f>
        <v>0</v>
      </c>
      <c r="G113" s="39">
        <f>IF(6&gt;=הנחות!C36,1,0)</f>
        <v>0</v>
      </c>
      <c r="H113" s="39">
        <f>IF(7&gt;=הנחות!C36,1,0)</f>
        <v>0</v>
      </c>
      <c r="I113" s="39">
        <f>IF(8&gt;=הנחות!C36,1,0)</f>
        <v>0</v>
      </c>
      <c r="J113" s="39">
        <f>IF(9&gt;=הנחות!C36,1,0)</f>
        <v>0</v>
      </c>
      <c r="K113" s="39">
        <f>IF(10&gt;=הנחות!C36,1,0)</f>
        <v>0</v>
      </c>
      <c r="L113" s="39">
        <f>IF(11&gt;=הנחות!C36,1,0)</f>
        <v>0</v>
      </c>
      <c r="M113" s="39">
        <f>IF(12&gt;=הנחות!C36,1,0)</f>
        <v>0</v>
      </c>
      <c r="N113" s="39">
        <f>IF(13&gt;=הנחות!C36,1,0)</f>
        <v>0</v>
      </c>
      <c r="O113" s="39">
        <f>IF(14&gt;=הנחות!C36,1,0)</f>
        <v>0</v>
      </c>
      <c r="P113" s="39">
        <f>IF(15&gt;=הנחות!C36,1,0)</f>
        <v>0</v>
      </c>
      <c r="Q113" s="39">
        <f>IF(16&gt;=הנחות!C36,1,0)</f>
        <v>0</v>
      </c>
      <c r="R113" s="39">
        <f>IF(17&gt;=הנחות!C36,1,0)</f>
        <v>0</v>
      </c>
      <c r="S113" s="39">
        <f>IF(18&gt;=הנחות!C36,1,0)</f>
        <v>0</v>
      </c>
      <c r="T113" s="39">
        <f>IF(19&gt;=הנחות!C36,1,0)</f>
        <v>0</v>
      </c>
      <c r="U113" s="39">
        <f>IF(20&gt;=הנחות!C36,1,0)</f>
        <v>0</v>
      </c>
      <c r="V113" s="39">
        <f>IF(21&gt;=הנחות!C36,1,0)</f>
        <v>0</v>
      </c>
      <c r="W113" s="39">
        <f>IF(22&gt;=הנחות!C36,1,0)</f>
        <v>0</v>
      </c>
      <c r="X113" s="39">
        <f>IF(23&gt;=הנחות!C36,1,0)</f>
        <v>0</v>
      </c>
      <c r="Y113" s="39">
        <f>IF(24&gt;=הנחות!C36,1,0)</f>
        <v>0</v>
      </c>
      <c r="Z113" s="39">
        <f>IF(25&gt;=הנחות!C36,1,0)</f>
        <v>0</v>
      </c>
      <c r="AA113" s="39">
        <f>IF(26&gt;=הנחות!C36,1,0)</f>
        <v>0</v>
      </c>
      <c r="AB113" s="39">
        <f>IF(27&gt;=הנחות!C36,1,0)</f>
        <v>0</v>
      </c>
      <c r="AC113" s="39">
        <f>IF(28&gt;=הנחות!C36,1,0)</f>
        <v>0</v>
      </c>
      <c r="AD113" s="39">
        <f>IF(29&gt;=הנחות!C36,1,0)</f>
        <v>0</v>
      </c>
      <c r="AE113" s="39">
        <f>IF(30&gt;=הנחות!C36,1,0)</f>
        <v>0</v>
      </c>
      <c r="AF113" s="39">
        <f>IF(31&gt;=הנחות!C36,1,0)</f>
        <v>0</v>
      </c>
      <c r="AG113" s="39">
        <f>IF(32&gt;=הנחות!C36,1,0)</f>
        <v>0</v>
      </c>
      <c r="AH113" s="39">
        <f>IF(33&gt;=הנחות!C36,1,0)</f>
        <v>0</v>
      </c>
      <c r="AI113" s="39">
        <f>IF(34&gt;=הנחות!C36,1,0)</f>
        <v>0</v>
      </c>
      <c r="AJ113" s="39">
        <f>IF(35&gt;=הנחות!C36,1,0)</f>
        <v>1</v>
      </c>
      <c r="AK113" s="39">
        <f>IF(36&gt;=הנחות!C36,1,0)</f>
        <v>1</v>
      </c>
      <c r="AL113" s="39">
        <f>IF(37&gt;=הנחות!C36,1,0)</f>
        <v>1</v>
      </c>
      <c r="AM113" s="39">
        <f>IF(38&gt;=הנחות!C36,1,0)</f>
        <v>1</v>
      </c>
      <c r="AN113" s="39">
        <f>IF(39&gt;=הנחות!C36,1,0)</f>
        <v>1</v>
      </c>
      <c r="AO113" s="39">
        <f>IF(40&gt;=הנחות!C36,1,0)</f>
        <v>1</v>
      </c>
      <c r="AP113" s="39">
        <f>IF(41&gt;=הנחות!C36,1,0)</f>
        <v>1</v>
      </c>
      <c r="AQ113" s="39">
        <f>IF(42&gt;=הנחות!C36,1,0)</f>
        <v>1</v>
      </c>
      <c r="AR113" s="39">
        <f>IF(43&gt;=הנחות!C36,1,0)</f>
        <v>1</v>
      </c>
      <c r="AS113" s="39">
        <f>IF(44&gt;=הנחות!C36,1,0)</f>
        <v>1</v>
      </c>
      <c r="AT113" s="39">
        <f>IF(45&gt;=הנחות!C36,1,0)</f>
        <v>1</v>
      </c>
      <c r="AU113" s="39">
        <f>IF(46&gt;=הנחות!C36,1,0)</f>
        <v>1</v>
      </c>
      <c r="AV113" s="39">
        <f>IF(47&gt;=הנחות!C36,1,0)</f>
        <v>1</v>
      </c>
      <c r="AW113" s="39">
        <f>IF(48&gt;=הנחות!C36,1,0)</f>
        <v>1</v>
      </c>
      <c r="AX113" s="39">
        <f>IF(49&gt;=הנחות!C36,1,0)</f>
        <v>1</v>
      </c>
      <c r="AY113" s="39">
        <f>IF(50&gt;=הנחות!C36,1,0)</f>
        <v>1</v>
      </c>
      <c r="AZ113" s="39">
        <f>IF(51&gt;=הנחות!C36,1,0)</f>
        <v>1</v>
      </c>
      <c r="BA113" s="39">
        <f>IF(52&gt;=הנחות!C36,1,0)</f>
        <v>1</v>
      </c>
      <c r="BB113" s="39">
        <f>IF(53&gt;=הנחות!C36,1,0)</f>
        <v>1</v>
      </c>
      <c r="BC113" s="39">
        <f>IF(54&gt;=הנחות!C36,1,0)</f>
        <v>1</v>
      </c>
      <c r="BD113" s="39">
        <f>IF(55&gt;=הנחות!C36,1,0)</f>
        <v>1</v>
      </c>
      <c r="BE113" s="39">
        <f>IF(56&gt;=הנחות!C36,1,0)</f>
        <v>1</v>
      </c>
      <c r="BF113" s="39">
        <f>IF(57&gt;=הנחות!C36,1,0)</f>
        <v>1</v>
      </c>
      <c r="BG113" s="39">
        <f>IF(58&gt;=הנחות!C36,1,0)</f>
        <v>1</v>
      </c>
      <c r="BH113" s="39">
        <f>IF(59&gt;=הנחות!C36,1,0)</f>
        <v>1</v>
      </c>
      <c r="BI113" s="39">
        <f>IF(60&gt;=הנחות!C36,1,0)</f>
        <v>1</v>
      </c>
    </row>
    <row r="114" spans="1:61" x14ac:dyDescent="0.25">
      <c r="A114" s="31" t="s">
        <v>244</v>
      </c>
      <c r="B114" s="39">
        <f>IF(1&gt;=הנחות!C37,1,0)</f>
        <v>0</v>
      </c>
      <c r="C114" s="39">
        <f>IF(2&gt;=הנחות!C37,1,0)</f>
        <v>0</v>
      </c>
      <c r="D114" s="39">
        <f>IF(3&gt;=הנחות!C37,1,0)</f>
        <v>0</v>
      </c>
      <c r="E114" s="39">
        <f>IF(4&gt;=הנחות!C37,1,0)</f>
        <v>0</v>
      </c>
      <c r="F114" s="39">
        <f>IF(5&gt;=הנחות!C37,1,0)</f>
        <v>0</v>
      </c>
      <c r="G114" s="39">
        <f>IF(6&gt;=הנחות!C37,1,0)</f>
        <v>0</v>
      </c>
      <c r="H114" s="39">
        <f>IF(7&gt;=הנחות!C37,1,0)</f>
        <v>0</v>
      </c>
      <c r="I114" s="39">
        <f>IF(8&gt;=הנחות!C37,1,0)</f>
        <v>0</v>
      </c>
      <c r="J114" s="39">
        <f>IF(9&gt;=הנחות!C37,1,0)</f>
        <v>0</v>
      </c>
      <c r="K114" s="39">
        <f>IF(10&gt;=הנחות!C37,1,0)</f>
        <v>0</v>
      </c>
      <c r="L114" s="39">
        <f>IF(11&gt;=הנחות!C37,1,0)</f>
        <v>0</v>
      </c>
      <c r="M114" s="39">
        <f>IF(12&gt;=הנחות!C37,1,0)</f>
        <v>0</v>
      </c>
      <c r="N114" s="39">
        <f>IF(13&gt;=הנחות!C37,1,0)</f>
        <v>0</v>
      </c>
      <c r="O114" s="39">
        <f>IF(14&gt;=הנחות!C37,1,0)</f>
        <v>0</v>
      </c>
      <c r="P114" s="39">
        <f>IF(15&gt;=הנחות!C37,1,0)</f>
        <v>0</v>
      </c>
      <c r="Q114" s="39">
        <f>IF(16&gt;=הנחות!C37,1,0)</f>
        <v>0</v>
      </c>
      <c r="R114" s="39">
        <f>IF(17&gt;=הנחות!C37,1,0)</f>
        <v>0</v>
      </c>
      <c r="S114" s="39">
        <f>IF(18&gt;=הנחות!C37,1,0)</f>
        <v>0</v>
      </c>
      <c r="T114" s="39">
        <f>IF(19&gt;=הנחות!C37,1,0)</f>
        <v>0</v>
      </c>
      <c r="U114" s="39">
        <f>IF(20&gt;=הנחות!C37,1,0)</f>
        <v>0</v>
      </c>
      <c r="V114" s="39">
        <f>IF(21&gt;=הנחות!C37,1,0)</f>
        <v>0</v>
      </c>
      <c r="W114" s="39">
        <f>IF(22&gt;=הנחות!C37,1,0)</f>
        <v>0</v>
      </c>
      <c r="X114" s="39">
        <f>IF(23&gt;=הנחות!C37,1,0)</f>
        <v>0</v>
      </c>
      <c r="Y114" s="39">
        <f>IF(24&gt;=הנחות!C37,1,0)</f>
        <v>0</v>
      </c>
      <c r="Z114" s="39">
        <f>IF(25&gt;=הנחות!C37,1,0)</f>
        <v>0</v>
      </c>
      <c r="AA114" s="39">
        <f>IF(26&gt;=הנחות!C37,1,0)</f>
        <v>0</v>
      </c>
      <c r="AB114" s="39">
        <f>IF(27&gt;=הנחות!C37,1,0)</f>
        <v>0</v>
      </c>
      <c r="AC114" s="39">
        <f>IF(28&gt;=הנחות!C37,1,0)</f>
        <v>0</v>
      </c>
      <c r="AD114" s="39">
        <f>IF(29&gt;=הנחות!C37,1,0)</f>
        <v>0</v>
      </c>
      <c r="AE114" s="39">
        <f>IF(30&gt;=הנחות!C37,1,0)</f>
        <v>0</v>
      </c>
      <c r="AF114" s="39">
        <f>IF(31&gt;=הנחות!C37,1,0)</f>
        <v>1</v>
      </c>
      <c r="AG114" s="39">
        <f>IF(32&gt;=הנחות!C37,1,0)</f>
        <v>1</v>
      </c>
      <c r="AH114" s="39">
        <f>IF(33&gt;=הנחות!C37,1,0)</f>
        <v>1</v>
      </c>
      <c r="AI114" s="39">
        <f>IF(34&gt;=הנחות!C37,1,0)</f>
        <v>1</v>
      </c>
      <c r="AJ114" s="39">
        <f>IF(35&gt;=הנחות!C37,1,0)</f>
        <v>1</v>
      </c>
      <c r="AK114" s="39">
        <f>IF(36&gt;=הנחות!C37,1,0)</f>
        <v>1</v>
      </c>
      <c r="AL114" s="39">
        <f>IF(37&gt;=הנחות!C37,1,0)</f>
        <v>1</v>
      </c>
      <c r="AM114" s="39">
        <f>IF(38&gt;=הנחות!C37,1,0)</f>
        <v>1</v>
      </c>
      <c r="AN114" s="39">
        <f>IF(39&gt;=הנחות!C37,1,0)</f>
        <v>1</v>
      </c>
      <c r="AO114" s="39">
        <f>IF(40&gt;=הנחות!C37,1,0)</f>
        <v>1</v>
      </c>
      <c r="AP114" s="39">
        <f>IF(41&gt;=הנחות!C37,1,0)</f>
        <v>1</v>
      </c>
      <c r="AQ114" s="39">
        <f>IF(42&gt;=הנחות!C37,1,0)</f>
        <v>1</v>
      </c>
      <c r="AR114" s="39">
        <f>IF(43&gt;=הנחות!C37,1,0)</f>
        <v>1</v>
      </c>
      <c r="AS114" s="39">
        <f>IF(44&gt;=הנחות!C37,1,0)</f>
        <v>1</v>
      </c>
      <c r="AT114" s="39">
        <f>IF(45&gt;=הנחות!C37,1,0)</f>
        <v>1</v>
      </c>
      <c r="AU114" s="39">
        <f>IF(46&gt;=הנחות!C37,1,0)</f>
        <v>1</v>
      </c>
      <c r="AV114" s="39">
        <f>IF(47&gt;=הנחות!C37,1,0)</f>
        <v>1</v>
      </c>
      <c r="AW114" s="39">
        <f>IF(48&gt;=הנחות!C37,1,0)</f>
        <v>1</v>
      </c>
      <c r="AX114" s="39">
        <f>IF(49&gt;=הנחות!C37,1,0)</f>
        <v>1</v>
      </c>
      <c r="AY114" s="39">
        <f>IF(50&gt;=הנחות!C37,1,0)</f>
        <v>1</v>
      </c>
      <c r="AZ114" s="39">
        <f>IF(51&gt;=הנחות!C37,1,0)</f>
        <v>1</v>
      </c>
      <c r="BA114" s="39">
        <f>IF(52&gt;=הנחות!C37,1,0)</f>
        <v>1</v>
      </c>
      <c r="BB114" s="39">
        <f>IF(53&gt;=הנחות!C37,1,0)</f>
        <v>1</v>
      </c>
      <c r="BC114" s="39">
        <f>IF(54&gt;=הנחות!C37,1,0)</f>
        <v>1</v>
      </c>
      <c r="BD114" s="39">
        <f>IF(55&gt;=הנחות!C37,1,0)</f>
        <v>1</v>
      </c>
      <c r="BE114" s="39">
        <f>IF(56&gt;=הנחות!C37,1,0)</f>
        <v>1</v>
      </c>
      <c r="BF114" s="39">
        <f>IF(57&gt;=הנחות!C37,1,0)</f>
        <v>1</v>
      </c>
      <c r="BG114" s="39">
        <f>IF(58&gt;=הנחות!C37,1,0)</f>
        <v>1</v>
      </c>
      <c r="BH114" s="39">
        <f>IF(59&gt;=הנחות!C37,1,0)</f>
        <v>1</v>
      </c>
      <c r="BI114" s="39">
        <f>IF(60&gt;=הנחות!C37,1,0)</f>
        <v>1</v>
      </c>
    </row>
    <row r="115" spans="1:61" x14ac:dyDescent="0.25">
      <c r="A115" s="31" t="s">
        <v>245</v>
      </c>
      <c r="B115" s="39">
        <f>IF(1&gt;=הנחות!C38,1,0)</f>
        <v>0</v>
      </c>
      <c r="C115" s="39">
        <f>IF(2&gt;=הנחות!C38,1,0)</f>
        <v>0</v>
      </c>
      <c r="D115" s="39">
        <f>IF(3&gt;=הנחות!C38,1,0)</f>
        <v>0</v>
      </c>
      <c r="E115" s="39">
        <f>IF(4&gt;=הנחות!C38,1,0)</f>
        <v>0</v>
      </c>
      <c r="F115" s="39">
        <f>IF(5&gt;=הנחות!C38,1,0)</f>
        <v>0</v>
      </c>
      <c r="G115" s="39">
        <f>IF(6&gt;=הנחות!C38,1,0)</f>
        <v>0</v>
      </c>
      <c r="H115" s="39">
        <f>IF(7&gt;=הנחות!C38,1,0)</f>
        <v>0</v>
      </c>
      <c r="I115" s="39">
        <f>IF(8&gt;=הנחות!C38,1,0)</f>
        <v>0</v>
      </c>
      <c r="J115" s="39">
        <f>IF(9&gt;=הנחות!C38,1,0)</f>
        <v>0</v>
      </c>
      <c r="K115" s="39">
        <f>IF(10&gt;=הנחות!C38,1,0)</f>
        <v>0</v>
      </c>
      <c r="L115" s="39">
        <f>IF(11&gt;=הנחות!C38,1,0)</f>
        <v>0</v>
      </c>
      <c r="M115" s="39">
        <f>IF(12&gt;=הנחות!C38,1,0)</f>
        <v>0</v>
      </c>
      <c r="N115" s="39">
        <f>IF(13&gt;=הנחות!C38,1,0)</f>
        <v>0</v>
      </c>
      <c r="O115" s="39">
        <f>IF(14&gt;=הנחות!C38,1,0)</f>
        <v>0</v>
      </c>
      <c r="P115" s="39">
        <f>IF(15&gt;=הנחות!C38,1,0)</f>
        <v>0</v>
      </c>
      <c r="Q115" s="39">
        <f>IF(16&gt;=הנחות!C38,1,0)</f>
        <v>0</v>
      </c>
      <c r="R115" s="39">
        <f>IF(17&gt;=הנחות!C38,1,0)</f>
        <v>0</v>
      </c>
      <c r="S115" s="39">
        <f>IF(18&gt;=הנחות!C38,1,0)</f>
        <v>0</v>
      </c>
      <c r="T115" s="39">
        <f>IF(19&gt;=הנחות!C38,1,0)</f>
        <v>0</v>
      </c>
      <c r="U115" s="39">
        <f>IF(20&gt;=הנחות!C38,1,0)</f>
        <v>0</v>
      </c>
      <c r="V115" s="39">
        <f>IF(21&gt;=הנחות!C38,1,0)</f>
        <v>0</v>
      </c>
      <c r="W115" s="39">
        <f>IF(22&gt;=הנחות!C38,1,0)</f>
        <v>0</v>
      </c>
      <c r="X115" s="39">
        <f>IF(23&gt;=הנחות!C38,1,0)</f>
        <v>0</v>
      </c>
      <c r="Y115" s="39">
        <f>IF(24&gt;=הנחות!C38,1,0)</f>
        <v>0</v>
      </c>
      <c r="Z115" s="39">
        <f>IF(25&gt;=הנחות!C38,1,0)</f>
        <v>0</v>
      </c>
      <c r="AA115" s="39">
        <f>IF(26&gt;=הנחות!C38,1,0)</f>
        <v>0</v>
      </c>
      <c r="AB115" s="39">
        <f>IF(27&gt;=הנחות!C38,1,0)</f>
        <v>0</v>
      </c>
      <c r="AC115" s="39">
        <f>IF(28&gt;=הנחות!C38,1,0)</f>
        <v>0</v>
      </c>
      <c r="AD115" s="39">
        <f>IF(29&gt;=הנחות!C38,1,0)</f>
        <v>0</v>
      </c>
      <c r="AE115" s="39">
        <f>IF(30&gt;=הנחות!C38,1,0)</f>
        <v>0</v>
      </c>
      <c r="AF115" s="39">
        <f>IF(31&gt;=הנחות!C38,1,0)</f>
        <v>0</v>
      </c>
      <c r="AG115" s="39">
        <f>IF(32&gt;=הנחות!C38,1,0)</f>
        <v>0</v>
      </c>
      <c r="AH115" s="39">
        <f>IF(33&gt;=הנחות!C38,1,0)</f>
        <v>0</v>
      </c>
      <c r="AI115" s="39">
        <f>IF(34&gt;=הנחות!C38,1,0)</f>
        <v>0</v>
      </c>
      <c r="AJ115" s="39">
        <f>IF(35&gt;=הנחות!C38,1,0)</f>
        <v>1</v>
      </c>
      <c r="AK115" s="39">
        <f>IF(36&gt;=הנחות!C38,1,0)</f>
        <v>1</v>
      </c>
      <c r="AL115" s="39">
        <f>IF(37&gt;=הנחות!C38,1,0)</f>
        <v>1</v>
      </c>
      <c r="AM115" s="39">
        <f>IF(38&gt;=הנחות!C38,1,0)</f>
        <v>1</v>
      </c>
      <c r="AN115" s="39">
        <f>IF(39&gt;=הנחות!C38,1,0)</f>
        <v>1</v>
      </c>
      <c r="AO115" s="39">
        <f>IF(40&gt;=הנחות!C38,1,0)</f>
        <v>1</v>
      </c>
      <c r="AP115" s="39">
        <f>IF(41&gt;=הנחות!C38,1,0)</f>
        <v>1</v>
      </c>
      <c r="AQ115" s="39">
        <f>IF(42&gt;=הנחות!C38,1,0)</f>
        <v>1</v>
      </c>
      <c r="AR115" s="39">
        <f>IF(43&gt;=הנחות!C38,1,0)</f>
        <v>1</v>
      </c>
      <c r="AS115" s="39">
        <f>IF(44&gt;=הנחות!C38,1,0)</f>
        <v>1</v>
      </c>
      <c r="AT115" s="39">
        <f>IF(45&gt;=הנחות!C38,1,0)</f>
        <v>1</v>
      </c>
      <c r="AU115" s="39">
        <f>IF(46&gt;=הנחות!C38,1,0)</f>
        <v>1</v>
      </c>
      <c r="AV115" s="39">
        <f>IF(47&gt;=הנחות!C38,1,0)</f>
        <v>1</v>
      </c>
      <c r="AW115" s="39">
        <f>IF(48&gt;=הנחות!C38,1,0)</f>
        <v>1</v>
      </c>
      <c r="AX115" s="39">
        <f>IF(49&gt;=הנחות!C38,1,0)</f>
        <v>1</v>
      </c>
      <c r="AY115" s="39">
        <f>IF(50&gt;=הנחות!C38,1,0)</f>
        <v>1</v>
      </c>
      <c r="AZ115" s="39">
        <f>IF(51&gt;=הנחות!C38,1,0)</f>
        <v>1</v>
      </c>
      <c r="BA115" s="39">
        <f>IF(52&gt;=הנחות!C38,1,0)</f>
        <v>1</v>
      </c>
      <c r="BB115" s="39">
        <f>IF(53&gt;=הנחות!C38,1,0)</f>
        <v>1</v>
      </c>
      <c r="BC115" s="39">
        <f>IF(54&gt;=הנחות!C38,1,0)</f>
        <v>1</v>
      </c>
      <c r="BD115" s="39">
        <f>IF(55&gt;=הנחות!C38,1,0)</f>
        <v>1</v>
      </c>
      <c r="BE115" s="39">
        <f>IF(56&gt;=הנחות!C38,1,0)</f>
        <v>1</v>
      </c>
      <c r="BF115" s="39">
        <f>IF(57&gt;=הנחות!C38,1,0)</f>
        <v>1</v>
      </c>
      <c r="BG115" s="39">
        <f>IF(58&gt;=הנחות!C38,1,0)</f>
        <v>1</v>
      </c>
      <c r="BH115" s="39">
        <f>IF(59&gt;=הנחות!C38,1,0)</f>
        <v>1</v>
      </c>
      <c r="BI115" s="39">
        <f>IF(60&gt;=הנחות!C38,1,0)</f>
        <v>1</v>
      </c>
    </row>
    <row r="117" spans="1:61" x14ac:dyDescent="0.25">
      <c r="A117" s="68" t="s">
        <v>246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</row>
    <row r="118" spans="1:61" x14ac:dyDescent="0.25">
      <c r="A118" s="31" t="s">
        <v>247</v>
      </c>
      <c r="B118" s="34">
        <f>B104*הנחות!B27*(1+הנחות!B55)^0</f>
        <v>38000</v>
      </c>
      <c r="C118" s="34">
        <f>C104*הנחות!B27*(1+הנחות!B55)^0</f>
        <v>38000</v>
      </c>
      <c r="D118" s="34">
        <f>D104*הנחות!B27*(1+הנחות!B55)^0</f>
        <v>38000</v>
      </c>
      <c r="E118" s="34">
        <f>E104*הנחות!B27*(1+הנחות!B55)^0</f>
        <v>38000</v>
      </c>
      <c r="F118" s="34">
        <f>F104*הנחות!B27*(1+הנחות!B55)^0</f>
        <v>38000</v>
      </c>
      <c r="G118" s="34">
        <f>G104*הנחות!B27*(1+הנחות!B55)^0</f>
        <v>38000</v>
      </c>
      <c r="H118" s="34">
        <f>H104*הנחות!B27*(1+הנחות!B55)^0</f>
        <v>38000</v>
      </c>
      <c r="I118" s="34">
        <f>I104*הנחות!B27*(1+הנחות!B55)^0</f>
        <v>38000</v>
      </c>
      <c r="J118" s="34">
        <f>J104*הנחות!B27*(1+הנחות!B55)^0</f>
        <v>38000</v>
      </c>
      <c r="K118" s="34">
        <f>K104*הנחות!B27*(1+הנחות!B55)^0</f>
        <v>38000</v>
      </c>
      <c r="L118" s="34">
        <f>L104*הנחות!B27*(1+הנחות!B55)^0</f>
        <v>38000</v>
      </c>
      <c r="M118" s="34">
        <f>M104*הנחות!B27*(1+הנחות!B55)^0</f>
        <v>38000</v>
      </c>
      <c r="N118" s="34">
        <f>N104*הנחות!B27*(1+הנחות!B55)^1</f>
        <v>38950</v>
      </c>
      <c r="O118" s="34">
        <f>O104*הנחות!B27*(1+הנחות!B55)^1</f>
        <v>38950</v>
      </c>
      <c r="P118" s="34">
        <f>P104*הנחות!B27*(1+הנחות!B55)^1</f>
        <v>38950</v>
      </c>
      <c r="Q118" s="34">
        <f>Q104*הנחות!B27*(1+הנחות!B55)^1</f>
        <v>38950</v>
      </c>
      <c r="R118" s="34">
        <f>R104*הנחות!B27*(1+הנחות!B55)^1</f>
        <v>38950</v>
      </c>
      <c r="S118" s="34">
        <f>S104*הנחות!B27*(1+הנחות!B55)^1</f>
        <v>38950</v>
      </c>
      <c r="T118" s="34">
        <f>T104*הנחות!B27*(1+הנחות!B55)^1</f>
        <v>38950</v>
      </c>
      <c r="U118" s="34">
        <f>U104*הנחות!B27*(1+הנחות!B55)^1</f>
        <v>38950</v>
      </c>
      <c r="V118" s="34">
        <f>V104*הנחות!B27*(1+הנחות!B55)^1</f>
        <v>38950</v>
      </c>
      <c r="W118" s="34">
        <f>W104*הנחות!B27*(1+הנחות!B55)^1</f>
        <v>38950</v>
      </c>
      <c r="X118" s="34">
        <f>X104*הנחות!B27*(1+הנחות!B55)^1</f>
        <v>38950</v>
      </c>
      <c r="Y118" s="34">
        <f>Y104*הנחות!B27*(1+הנחות!B55)^1</f>
        <v>38950</v>
      </c>
      <c r="Z118" s="34">
        <f>Z104*הנחות!B27*(1+הנחות!B55)^2</f>
        <v>39923.75</v>
      </c>
      <c r="AA118" s="34">
        <f>AA104*הנחות!B27*(1+הנחות!B55)^2</f>
        <v>39923.75</v>
      </c>
      <c r="AB118" s="34">
        <f>AB104*הנחות!B27*(1+הנחות!B55)^2</f>
        <v>39923.75</v>
      </c>
      <c r="AC118" s="34">
        <f>AC104*הנחות!B27*(1+הנחות!B55)^2</f>
        <v>39923.75</v>
      </c>
      <c r="AD118" s="34">
        <f>AD104*הנחות!B27*(1+הנחות!B55)^2</f>
        <v>39923.75</v>
      </c>
      <c r="AE118" s="34">
        <f>AE104*הנחות!B27*(1+הנחות!B55)^2</f>
        <v>39923.75</v>
      </c>
      <c r="AF118" s="34">
        <f>AF104*הנחות!B27*(1+הנחות!B55)^2</f>
        <v>39923.75</v>
      </c>
      <c r="AG118" s="34">
        <f>AG104*הנחות!B27*(1+הנחות!B55)^2</f>
        <v>39923.75</v>
      </c>
      <c r="AH118" s="34">
        <f>AH104*הנחות!B27*(1+הנחות!B55)^2</f>
        <v>39923.75</v>
      </c>
      <c r="AI118" s="34">
        <f>AI104*הנחות!B27*(1+הנחות!B55)^2</f>
        <v>39923.75</v>
      </c>
      <c r="AJ118" s="34">
        <f>AJ104*הנחות!B27*(1+הנחות!B55)^2</f>
        <v>39923.75</v>
      </c>
      <c r="AK118" s="34">
        <f>AK104*הנחות!B27*(1+הנחות!B55)^2</f>
        <v>39923.75</v>
      </c>
      <c r="AL118" s="34">
        <f>AL104*הנחות!B27*(1+הנחות!B55)^3</f>
        <v>40921.843749999993</v>
      </c>
      <c r="AM118" s="34">
        <f>AM104*הנחות!B27*(1+הנחות!B55)^3</f>
        <v>40921.843749999993</v>
      </c>
      <c r="AN118" s="34">
        <f>AN104*הנחות!B27*(1+הנחות!B55)^3</f>
        <v>40921.843749999993</v>
      </c>
      <c r="AO118" s="34">
        <f>AO104*הנחות!B27*(1+הנחות!B55)^3</f>
        <v>40921.843749999993</v>
      </c>
      <c r="AP118" s="34">
        <f>AP104*הנחות!B27*(1+הנחות!B55)^3</f>
        <v>40921.843749999993</v>
      </c>
      <c r="AQ118" s="34">
        <f>AQ104*הנחות!B27*(1+הנחות!B55)^3</f>
        <v>40921.843749999993</v>
      </c>
      <c r="AR118" s="34">
        <f>AR104*הנחות!B27*(1+הנחות!B55)^3</f>
        <v>40921.843749999993</v>
      </c>
      <c r="AS118" s="34">
        <f>AS104*הנחות!B27*(1+הנחות!B55)^3</f>
        <v>40921.843749999993</v>
      </c>
      <c r="AT118" s="34">
        <f>AT104*הנחות!B27*(1+הנחות!B55)^3</f>
        <v>40921.843749999993</v>
      </c>
      <c r="AU118" s="34">
        <f>AU104*הנחות!B27*(1+הנחות!B55)^3</f>
        <v>40921.843749999993</v>
      </c>
      <c r="AV118" s="34">
        <f>AV104*הנחות!B27*(1+הנחות!B55)^3</f>
        <v>40921.843749999993</v>
      </c>
      <c r="AW118" s="34">
        <f>AW104*הנחות!B27*(1+הנחות!B55)^3</f>
        <v>40921.843749999993</v>
      </c>
      <c r="AX118" s="34">
        <f>AX104*הנחות!B27*(1+הנחות!B55)^4</f>
        <v>41944.889843749988</v>
      </c>
      <c r="AY118" s="34">
        <f>AY104*הנחות!B27*(1+הנחות!B55)^4</f>
        <v>41944.889843749988</v>
      </c>
      <c r="AZ118" s="34">
        <f>AZ104*הנחות!B27*(1+הנחות!B55)^4</f>
        <v>41944.889843749988</v>
      </c>
      <c r="BA118" s="34">
        <f>BA104*הנחות!B27*(1+הנחות!B55)^4</f>
        <v>41944.889843749988</v>
      </c>
      <c r="BB118" s="34">
        <f>BB104*הנחות!B27*(1+הנחות!B55)^4</f>
        <v>41944.889843749988</v>
      </c>
      <c r="BC118" s="34">
        <f>BC104*הנחות!B27*(1+הנחות!B55)^4</f>
        <v>41944.889843749988</v>
      </c>
      <c r="BD118" s="34">
        <f>BD104*הנחות!B27*(1+הנחות!B55)^4</f>
        <v>41944.889843749988</v>
      </c>
      <c r="BE118" s="34">
        <f>BE104*הנחות!B27*(1+הנחות!B55)^4</f>
        <v>41944.889843749988</v>
      </c>
      <c r="BF118" s="34">
        <f>BF104*הנחות!B27*(1+הנחות!B55)^4</f>
        <v>41944.889843749988</v>
      </c>
      <c r="BG118" s="34">
        <f>BG104*הנחות!B27*(1+הנחות!B55)^4</f>
        <v>41944.889843749988</v>
      </c>
      <c r="BH118" s="34">
        <f>BH104*הנחות!B27*(1+הנחות!B55)^4</f>
        <v>41944.889843749988</v>
      </c>
      <c r="BI118" s="34">
        <f>BI104*הנחות!B27*(1+הנחות!B55)^4</f>
        <v>41944.889843749988</v>
      </c>
    </row>
    <row r="119" spans="1:61" x14ac:dyDescent="0.25">
      <c r="A119" s="31" t="s">
        <v>248</v>
      </c>
      <c r="B119" s="34">
        <f>B105*הנחות!B28*(1+הנחות!B55)^0</f>
        <v>50000</v>
      </c>
      <c r="C119" s="34">
        <f>C105*הנחות!B28*(1+הנחות!B55)^0</f>
        <v>50000</v>
      </c>
      <c r="D119" s="34">
        <f>D105*הנחות!B28*(1+הנחות!B55)^0</f>
        <v>50000</v>
      </c>
      <c r="E119" s="34">
        <f>E105*הנחות!B28*(1+הנחות!B55)^0</f>
        <v>50000</v>
      </c>
      <c r="F119" s="34">
        <f>F105*הנחות!B28*(1+הנחות!B55)^0</f>
        <v>50000</v>
      </c>
      <c r="G119" s="34">
        <f>G105*הנחות!B28*(1+הנחות!B55)^0</f>
        <v>50000</v>
      </c>
      <c r="H119" s="34">
        <f>H105*הנחות!B28*(1+הנחות!B55)^0</f>
        <v>50000</v>
      </c>
      <c r="I119" s="34">
        <f>I105*הנחות!B28*(1+הנחות!B55)^0</f>
        <v>50000</v>
      </c>
      <c r="J119" s="34">
        <f>J105*הנחות!B28*(1+הנחות!B55)^0</f>
        <v>50000</v>
      </c>
      <c r="K119" s="34">
        <f>K105*הנחות!B28*(1+הנחות!B55)^0</f>
        <v>50000</v>
      </c>
      <c r="L119" s="34">
        <f>L105*הנחות!B28*(1+הנחות!B55)^0</f>
        <v>50000</v>
      </c>
      <c r="M119" s="34">
        <f>M105*הנחות!B28*(1+הנחות!B55)^0</f>
        <v>50000</v>
      </c>
      <c r="N119" s="34">
        <f>N105*הנחות!B28*(1+הנחות!B55)^1</f>
        <v>51249.999999999993</v>
      </c>
      <c r="O119" s="34">
        <f>O105*הנחות!B28*(1+הנחות!B55)^1</f>
        <v>51249.999999999993</v>
      </c>
      <c r="P119" s="34">
        <f>P105*הנחות!B28*(1+הנחות!B55)^1</f>
        <v>51249.999999999993</v>
      </c>
      <c r="Q119" s="34">
        <f>Q105*הנחות!B28*(1+הנחות!B55)^1</f>
        <v>51249.999999999993</v>
      </c>
      <c r="R119" s="34">
        <f>R105*הנחות!B28*(1+הנחות!B55)^1</f>
        <v>51249.999999999993</v>
      </c>
      <c r="S119" s="34">
        <f>S105*הנחות!B28*(1+הנחות!B55)^1</f>
        <v>51249.999999999993</v>
      </c>
      <c r="T119" s="34">
        <f>T105*הנחות!B28*(1+הנחות!B55)^1</f>
        <v>51249.999999999993</v>
      </c>
      <c r="U119" s="34">
        <f>U105*הנחות!B28*(1+הנחות!B55)^1</f>
        <v>51249.999999999993</v>
      </c>
      <c r="V119" s="34">
        <f>V105*הנחות!B28*(1+הנחות!B55)^1</f>
        <v>51249.999999999993</v>
      </c>
      <c r="W119" s="34">
        <f>W105*הנחות!B28*(1+הנחות!B55)^1</f>
        <v>51249.999999999993</v>
      </c>
      <c r="X119" s="34">
        <f>X105*הנחות!B28*(1+הנחות!B55)^1</f>
        <v>51249.999999999993</v>
      </c>
      <c r="Y119" s="34">
        <f>Y105*הנחות!B28*(1+הנחות!B55)^1</f>
        <v>51249.999999999993</v>
      </c>
      <c r="Z119" s="34">
        <f>Z105*הנחות!B28*(1+הנחות!B55)^2</f>
        <v>52531.249999999993</v>
      </c>
      <c r="AA119" s="34">
        <f>AA105*הנחות!B28*(1+הנחות!B55)^2</f>
        <v>52531.249999999993</v>
      </c>
      <c r="AB119" s="34">
        <f>AB105*הנחות!B28*(1+הנחות!B55)^2</f>
        <v>52531.249999999993</v>
      </c>
      <c r="AC119" s="34">
        <f>AC105*הנחות!B28*(1+הנחות!B55)^2</f>
        <v>52531.249999999993</v>
      </c>
      <c r="AD119" s="34">
        <f>AD105*הנחות!B28*(1+הנחות!B55)^2</f>
        <v>52531.249999999993</v>
      </c>
      <c r="AE119" s="34">
        <f>AE105*הנחות!B28*(1+הנחות!B55)^2</f>
        <v>52531.249999999993</v>
      </c>
      <c r="AF119" s="34">
        <f>AF105*הנחות!B28*(1+הנחות!B55)^2</f>
        <v>52531.249999999993</v>
      </c>
      <c r="AG119" s="34">
        <f>AG105*הנחות!B28*(1+הנחות!B55)^2</f>
        <v>52531.249999999993</v>
      </c>
      <c r="AH119" s="34">
        <f>AH105*הנחות!B28*(1+הנחות!B55)^2</f>
        <v>52531.249999999993</v>
      </c>
      <c r="AI119" s="34">
        <f>AI105*הנחות!B28*(1+הנחות!B55)^2</f>
        <v>52531.249999999993</v>
      </c>
      <c r="AJ119" s="34">
        <f>AJ105*הנחות!B28*(1+הנחות!B55)^2</f>
        <v>52531.249999999993</v>
      </c>
      <c r="AK119" s="34">
        <f>AK105*הנחות!B28*(1+הנחות!B55)^2</f>
        <v>52531.249999999993</v>
      </c>
      <c r="AL119" s="34">
        <f>AL105*הנחות!B28*(1+הנחות!B55)^3</f>
        <v>53844.531249999993</v>
      </c>
      <c r="AM119" s="34">
        <f>AM105*הנחות!B28*(1+הנחות!B55)^3</f>
        <v>53844.531249999993</v>
      </c>
      <c r="AN119" s="34">
        <f>AN105*הנחות!B28*(1+הנחות!B55)^3</f>
        <v>53844.531249999993</v>
      </c>
      <c r="AO119" s="34">
        <f>AO105*הנחות!B28*(1+הנחות!B55)^3</f>
        <v>53844.531249999993</v>
      </c>
      <c r="AP119" s="34">
        <f>AP105*הנחות!B28*(1+הנחות!B55)^3</f>
        <v>53844.531249999993</v>
      </c>
      <c r="AQ119" s="34">
        <f>AQ105*הנחות!B28*(1+הנחות!B55)^3</f>
        <v>53844.531249999993</v>
      </c>
      <c r="AR119" s="34">
        <f>AR105*הנחות!B28*(1+הנחות!B55)^3</f>
        <v>53844.531249999993</v>
      </c>
      <c r="AS119" s="34">
        <f>AS105*הנחות!B28*(1+הנחות!B55)^3</f>
        <v>53844.531249999993</v>
      </c>
      <c r="AT119" s="34">
        <f>AT105*הנחות!B28*(1+הנחות!B55)^3</f>
        <v>53844.531249999993</v>
      </c>
      <c r="AU119" s="34">
        <f>AU105*הנחות!B28*(1+הנחות!B55)^3</f>
        <v>53844.531249999993</v>
      </c>
      <c r="AV119" s="34">
        <f>AV105*הנחות!B28*(1+הנחות!B55)^3</f>
        <v>53844.531249999993</v>
      </c>
      <c r="AW119" s="34">
        <f>AW105*הנחות!B28*(1+הנחות!B55)^3</f>
        <v>53844.531249999993</v>
      </c>
      <c r="AX119" s="34">
        <f>AX105*הנחות!B28*(1+הנחות!B55)^4</f>
        <v>55190.644531249985</v>
      </c>
      <c r="AY119" s="34">
        <f>AY105*הנחות!B28*(1+הנחות!B55)^4</f>
        <v>55190.644531249985</v>
      </c>
      <c r="AZ119" s="34">
        <f>AZ105*הנחות!B28*(1+הנחות!B55)^4</f>
        <v>55190.644531249985</v>
      </c>
      <c r="BA119" s="34">
        <f>BA105*הנחות!B28*(1+הנחות!B55)^4</f>
        <v>55190.644531249985</v>
      </c>
      <c r="BB119" s="34">
        <f>BB105*הנחות!B28*(1+הנחות!B55)^4</f>
        <v>55190.644531249985</v>
      </c>
      <c r="BC119" s="34">
        <f>BC105*הנחות!B28*(1+הנחות!B55)^4</f>
        <v>55190.644531249985</v>
      </c>
      <c r="BD119" s="34">
        <f>BD105*הנחות!B28*(1+הנחות!B55)^4</f>
        <v>55190.644531249985</v>
      </c>
      <c r="BE119" s="34">
        <f>BE105*הנחות!B28*(1+הנחות!B55)^4</f>
        <v>55190.644531249985</v>
      </c>
      <c r="BF119" s="34">
        <f>BF105*הנחות!B28*(1+הנחות!B55)^4</f>
        <v>55190.644531249985</v>
      </c>
      <c r="BG119" s="34">
        <f>BG105*הנחות!B28*(1+הנחות!B55)^4</f>
        <v>55190.644531249985</v>
      </c>
      <c r="BH119" s="34">
        <f>BH105*הנחות!B28*(1+הנחות!B55)^4</f>
        <v>55190.644531249985</v>
      </c>
      <c r="BI119" s="34">
        <f>BI105*הנחות!B28*(1+הנחות!B55)^4</f>
        <v>55190.644531249985</v>
      </c>
    </row>
    <row r="120" spans="1:61" x14ac:dyDescent="0.25">
      <c r="A120" s="31" t="s">
        <v>249</v>
      </c>
      <c r="B120" s="34">
        <f>B106*הנחות!B29*(1+הנחות!B55)^0</f>
        <v>0</v>
      </c>
      <c r="C120" s="34">
        <f>C106*הנחות!B29*(1+הנחות!B55)^0</f>
        <v>0</v>
      </c>
      <c r="D120" s="34">
        <f>D106*הנחות!B29*(1+הנחות!B55)^0</f>
        <v>0</v>
      </c>
      <c r="E120" s="34">
        <f>E106*הנחות!B29*(1+הנחות!B55)^0</f>
        <v>0</v>
      </c>
      <c r="F120" s="34">
        <f>F106*הנחות!B29*(1+הנחות!B55)^0</f>
        <v>0</v>
      </c>
      <c r="G120" s="34">
        <f>G106*הנחות!B29*(1+הנחות!B55)^0</f>
        <v>0</v>
      </c>
      <c r="H120" s="34">
        <f>H106*הנחות!B29*(1+הנחות!B55)^0</f>
        <v>0</v>
      </c>
      <c r="I120" s="34">
        <f>I106*הנחות!B29*(1+הנחות!B55)^0</f>
        <v>0</v>
      </c>
      <c r="J120" s="34">
        <f>J106*הנחות!B29*(1+הנחות!B55)^0</f>
        <v>0</v>
      </c>
      <c r="K120" s="34">
        <f>K106*הנחות!B29*(1+הנחות!B55)^0</f>
        <v>0</v>
      </c>
      <c r="L120" s="34">
        <f>L106*הנחות!B29*(1+הנחות!B55)^0</f>
        <v>0</v>
      </c>
      <c r="M120" s="34">
        <f>M106*הנחות!B29*(1+הנחות!B55)^0</f>
        <v>45000</v>
      </c>
      <c r="N120" s="34">
        <f>N106*הנחות!B29*(1+הנחות!B55)^1</f>
        <v>46124.999999999993</v>
      </c>
      <c r="O120" s="34">
        <f>O106*הנחות!B29*(1+הנחות!B55)^1</f>
        <v>46124.999999999993</v>
      </c>
      <c r="P120" s="34">
        <f>P106*הנחות!B29*(1+הנחות!B55)^1</f>
        <v>46124.999999999993</v>
      </c>
      <c r="Q120" s="34">
        <f>Q106*הנחות!B29*(1+הנחות!B55)^1</f>
        <v>46124.999999999993</v>
      </c>
      <c r="R120" s="34">
        <f>R106*הנחות!B29*(1+הנחות!B55)^1</f>
        <v>46124.999999999993</v>
      </c>
      <c r="S120" s="34">
        <f>S106*הנחות!B29*(1+הנחות!B55)^1</f>
        <v>46124.999999999993</v>
      </c>
      <c r="T120" s="34">
        <f>T106*הנחות!B29*(1+הנחות!B55)^1</f>
        <v>46124.999999999993</v>
      </c>
      <c r="U120" s="34">
        <f>U106*הנחות!B29*(1+הנחות!B55)^1</f>
        <v>46124.999999999993</v>
      </c>
      <c r="V120" s="34">
        <f>V106*הנחות!B29*(1+הנחות!B55)^1</f>
        <v>46124.999999999993</v>
      </c>
      <c r="W120" s="34">
        <f>W106*הנחות!B29*(1+הנחות!B55)^1</f>
        <v>46124.999999999993</v>
      </c>
      <c r="X120" s="34">
        <f>X106*הנחות!B29*(1+הנחות!B55)^1</f>
        <v>46124.999999999993</v>
      </c>
      <c r="Y120" s="34">
        <f>Y106*הנחות!B29*(1+הנחות!B55)^1</f>
        <v>46124.999999999993</v>
      </c>
      <c r="Z120" s="34">
        <f>Z106*הנחות!B29*(1+הנחות!B55)^2</f>
        <v>47278.125</v>
      </c>
      <c r="AA120" s="34">
        <f>AA106*הנחות!B29*(1+הנחות!B55)^2</f>
        <v>47278.125</v>
      </c>
      <c r="AB120" s="34">
        <f>AB106*הנחות!B29*(1+הנחות!B55)^2</f>
        <v>47278.125</v>
      </c>
      <c r="AC120" s="34">
        <f>AC106*הנחות!B29*(1+הנחות!B55)^2</f>
        <v>47278.125</v>
      </c>
      <c r="AD120" s="34">
        <f>AD106*הנחות!B29*(1+הנחות!B55)^2</f>
        <v>47278.125</v>
      </c>
      <c r="AE120" s="34">
        <f>AE106*הנחות!B29*(1+הנחות!B55)^2</f>
        <v>47278.125</v>
      </c>
      <c r="AF120" s="34">
        <f>AF106*הנחות!B29*(1+הנחות!B55)^2</f>
        <v>47278.125</v>
      </c>
      <c r="AG120" s="34">
        <f>AG106*הנחות!B29*(1+הנחות!B55)^2</f>
        <v>47278.125</v>
      </c>
      <c r="AH120" s="34">
        <f>AH106*הנחות!B29*(1+הנחות!B55)^2</f>
        <v>47278.125</v>
      </c>
      <c r="AI120" s="34">
        <f>AI106*הנחות!B29*(1+הנחות!B55)^2</f>
        <v>47278.125</v>
      </c>
      <c r="AJ120" s="34">
        <f>AJ106*הנחות!B29*(1+הנחות!B55)^2</f>
        <v>47278.125</v>
      </c>
      <c r="AK120" s="34">
        <f>AK106*הנחות!B29*(1+הנחות!B55)^2</f>
        <v>47278.125</v>
      </c>
      <c r="AL120" s="34">
        <f>AL106*הנחות!B29*(1+הנחות!B55)^3</f>
        <v>48460.078124999993</v>
      </c>
      <c r="AM120" s="34">
        <f>AM106*הנחות!B29*(1+הנחות!B55)^3</f>
        <v>48460.078124999993</v>
      </c>
      <c r="AN120" s="34">
        <f>AN106*הנחות!B29*(1+הנחות!B55)^3</f>
        <v>48460.078124999993</v>
      </c>
      <c r="AO120" s="34">
        <f>AO106*הנחות!B29*(1+הנחות!B55)^3</f>
        <v>48460.078124999993</v>
      </c>
      <c r="AP120" s="34">
        <f>AP106*הנחות!B29*(1+הנחות!B55)^3</f>
        <v>48460.078124999993</v>
      </c>
      <c r="AQ120" s="34">
        <f>AQ106*הנחות!B29*(1+הנחות!B55)^3</f>
        <v>48460.078124999993</v>
      </c>
      <c r="AR120" s="34">
        <f>AR106*הנחות!B29*(1+הנחות!B55)^3</f>
        <v>48460.078124999993</v>
      </c>
      <c r="AS120" s="34">
        <f>AS106*הנחות!B29*(1+הנחות!B55)^3</f>
        <v>48460.078124999993</v>
      </c>
      <c r="AT120" s="34">
        <f>AT106*הנחות!B29*(1+הנחות!B55)^3</f>
        <v>48460.078124999993</v>
      </c>
      <c r="AU120" s="34">
        <f>AU106*הנחות!B29*(1+הנחות!B55)^3</f>
        <v>48460.078124999993</v>
      </c>
      <c r="AV120" s="34">
        <f>AV106*הנחות!B29*(1+הנחות!B55)^3</f>
        <v>48460.078124999993</v>
      </c>
      <c r="AW120" s="34">
        <f>AW106*הנחות!B29*(1+הנחות!B55)^3</f>
        <v>48460.078124999993</v>
      </c>
      <c r="AX120" s="34">
        <f>AX106*הנחות!B29*(1+הנחות!B55)^4</f>
        <v>49671.580078124993</v>
      </c>
      <c r="AY120" s="34">
        <f>AY106*הנחות!B29*(1+הנחות!B55)^4</f>
        <v>49671.580078124993</v>
      </c>
      <c r="AZ120" s="34">
        <f>AZ106*הנחות!B29*(1+הנחות!B55)^4</f>
        <v>49671.580078124993</v>
      </c>
      <c r="BA120" s="34">
        <f>BA106*הנחות!B29*(1+הנחות!B55)^4</f>
        <v>49671.580078124993</v>
      </c>
      <c r="BB120" s="34">
        <f>BB106*הנחות!B29*(1+הנחות!B55)^4</f>
        <v>49671.580078124993</v>
      </c>
      <c r="BC120" s="34">
        <f>BC106*הנחות!B29*(1+הנחות!B55)^4</f>
        <v>49671.580078124993</v>
      </c>
      <c r="BD120" s="34">
        <f>BD106*הנחות!B29*(1+הנחות!B55)^4</f>
        <v>49671.580078124993</v>
      </c>
      <c r="BE120" s="34">
        <f>BE106*הנחות!B29*(1+הנחות!B55)^4</f>
        <v>49671.580078124993</v>
      </c>
      <c r="BF120" s="34">
        <f>BF106*הנחות!B29*(1+הנחות!B55)^4</f>
        <v>49671.580078124993</v>
      </c>
      <c r="BG120" s="34">
        <f>BG106*הנחות!B29*(1+הנחות!B55)^4</f>
        <v>49671.580078124993</v>
      </c>
      <c r="BH120" s="34">
        <f>BH106*הנחות!B29*(1+הנחות!B55)^4</f>
        <v>49671.580078124993</v>
      </c>
      <c r="BI120" s="34">
        <f>BI106*הנחות!B29*(1+הנחות!B55)^4</f>
        <v>49671.580078124993</v>
      </c>
    </row>
    <row r="121" spans="1:61" x14ac:dyDescent="0.25">
      <c r="A121" s="31" t="s">
        <v>250</v>
      </c>
      <c r="B121" s="34">
        <f>B107*הנחות!B30*(1+הנחות!B55)^0</f>
        <v>0</v>
      </c>
      <c r="C121" s="34">
        <f>C107*הנחות!B30*(1+הנחות!B55)^0</f>
        <v>0</v>
      </c>
      <c r="D121" s="34">
        <f>D107*הנחות!B30*(1+הנחות!B55)^0</f>
        <v>0</v>
      </c>
      <c r="E121" s="34">
        <f>E107*הנחות!B30*(1+הנחות!B55)^0</f>
        <v>0</v>
      </c>
      <c r="F121" s="34">
        <f>F107*הנחות!B30*(1+הנחות!B55)^0</f>
        <v>0</v>
      </c>
      <c r="G121" s="34">
        <f>G107*הנחות!B30*(1+הנחות!B55)^0</f>
        <v>0</v>
      </c>
      <c r="H121" s="34">
        <f>H107*הנחות!B30*(1+הנחות!B55)^0</f>
        <v>0</v>
      </c>
      <c r="I121" s="34">
        <f>I107*הנחות!B30*(1+הנחות!B55)^0</f>
        <v>0</v>
      </c>
      <c r="J121" s="34">
        <f>J107*הנחות!B30*(1+הנחות!B55)^0</f>
        <v>0</v>
      </c>
      <c r="K121" s="34">
        <f>K107*הנחות!B30*(1+הנחות!B55)^0</f>
        <v>0</v>
      </c>
      <c r="L121" s="34">
        <f>L107*הנחות!B30*(1+הנחות!B55)^0</f>
        <v>0</v>
      </c>
      <c r="M121" s="34">
        <f>M107*הנחות!B30*(1+הנחות!B55)^0</f>
        <v>47000</v>
      </c>
      <c r="N121" s="34">
        <f>N107*הנחות!B30*(1+הנחות!B55)^1</f>
        <v>48174.999999999993</v>
      </c>
      <c r="O121" s="34">
        <f>O107*הנחות!B30*(1+הנחות!B55)^1</f>
        <v>48174.999999999993</v>
      </c>
      <c r="P121" s="34">
        <f>P107*הנחות!B30*(1+הנחות!B55)^1</f>
        <v>48174.999999999993</v>
      </c>
      <c r="Q121" s="34">
        <f>Q107*הנחות!B30*(1+הנחות!B55)^1</f>
        <v>48174.999999999993</v>
      </c>
      <c r="R121" s="34">
        <f>R107*הנחות!B30*(1+הנחות!B55)^1</f>
        <v>48174.999999999993</v>
      </c>
      <c r="S121" s="34">
        <f>S107*הנחות!B30*(1+הנחות!B55)^1</f>
        <v>48174.999999999993</v>
      </c>
      <c r="T121" s="34">
        <f>T107*הנחות!B30*(1+הנחות!B55)^1</f>
        <v>48174.999999999993</v>
      </c>
      <c r="U121" s="34">
        <f>U107*הנחות!B30*(1+הנחות!B55)^1</f>
        <v>48174.999999999993</v>
      </c>
      <c r="V121" s="34">
        <f>V107*הנחות!B30*(1+הנחות!B55)^1</f>
        <v>48174.999999999993</v>
      </c>
      <c r="W121" s="34">
        <f>W107*הנחות!B30*(1+הנחות!B55)^1</f>
        <v>48174.999999999993</v>
      </c>
      <c r="X121" s="34">
        <f>X107*הנחות!B30*(1+הנחות!B55)^1</f>
        <v>48174.999999999993</v>
      </c>
      <c r="Y121" s="34">
        <f>Y107*הנחות!B30*(1+הנחות!B55)^1</f>
        <v>48174.999999999993</v>
      </c>
      <c r="Z121" s="34">
        <f>Z107*הנחות!B30*(1+הנחות!B55)^2</f>
        <v>49379.374999999993</v>
      </c>
      <c r="AA121" s="34">
        <f>AA107*הנחות!B30*(1+הנחות!B55)^2</f>
        <v>49379.374999999993</v>
      </c>
      <c r="AB121" s="34">
        <f>AB107*הנחות!B30*(1+הנחות!B55)^2</f>
        <v>49379.374999999993</v>
      </c>
      <c r="AC121" s="34">
        <f>AC107*הנחות!B30*(1+הנחות!B55)^2</f>
        <v>49379.374999999993</v>
      </c>
      <c r="AD121" s="34">
        <f>AD107*הנחות!B30*(1+הנחות!B55)^2</f>
        <v>49379.374999999993</v>
      </c>
      <c r="AE121" s="34">
        <f>AE107*הנחות!B30*(1+הנחות!B55)^2</f>
        <v>49379.374999999993</v>
      </c>
      <c r="AF121" s="34">
        <f>AF107*הנחות!B30*(1+הנחות!B55)^2</f>
        <v>49379.374999999993</v>
      </c>
      <c r="AG121" s="34">
        <f>AG107*הנחות!B30*(1+הנחות!B55)^2</f>
        <v>49379.374999999993</v>
      </c>
      <c r="AH121" s="34">
        <f>AH107*הנחות!B30*(1+הנחות!B55)^2</f>
        <v>49379.374999999993</v>
      </c>
      <c r="AI121" s="34">
        <f>AI107*הנחות!B30*(1+הנחות!B55)^2</f>
        <v>49379.374999999993</v>
      </c>
      <c r="AJ121" s="34">
        <f>AJ107*הנחות!B30*(1+הנחות!B55)^2</f>
        <v>49379.374999999993</v>
      </c>
      <c r="AK121" s="34">
        <f>AK107*הנחות!B30*(1+הנחות!B55)^2</f>
        <v>49379.374999999993</v>
      </c>
      <c r="AL121" s="34">
        <f>AL107*הנחות!B30*(1+הנחות!B55)^3</f>
        <v>50613.859374999993</v>
      </c>
      <c r="AM121" s="34">
        <f>AM107*הנחות!B30*(1+הנחות!B55)^3</f>
        <v>50613.859374999993</v>
      </c>
      <c r="AN121" s="34">
        <f>AN107*הנחות!B30*(1+הנחות!B55)^3</f>
        <v>50613.859374999993</v>
      </c>
      <c r="AO121" s="34">
        <f>AO107*הנחות!B30*(1+הנחות!B55)^3</f>
        <v>50613.859374999993</v>
      </c>
      <c r="AP121" s="34">
        <f>AP107*הנחות!B30*(1+הנחות!B55)^3</f>
        <v>50613.859374999993</v>
      </c>
      <c r="AQ121" s="34">
        <f>AQ107*הנחות!B30*(1+הנחות!B55)^3</f>
        <v>50613.859374999993</v>
      </c>
      <c r="AR121" s="34">
        <f>AR107*הנחות!B30*(1+הנחות!B55)^3</f>
        <v>50613.859374999993</v>
      </c>
      <c r="AS121" s="34">
        <f>AS107*הנחות!B30*(1+הנחות!B55)^3</f>
        <v>50613.859374999993</v>
      </c>
      <c r="AT121" s="34">
        <f>AT107*הנחות!B30*(1+הנחות!B55)^3</f>
        <v>50613.859374999993</v>
      </c>
      <c r="AU121" s="34">
        <f>AU107*הנחות!B30*(1+הנחות!B55)^3</f>
        <v>50613.859374999993</v>
      </c>
      <c r="AV121" s="34">
        <f>AV107*הנחות!B30*(1+הנחות!B55)^3</f>
        <v>50613.859374999993</v>
      </c>
      <c r="AW121" s="34">
        <f>AW107*הנחות!B30*(1+הנחות!B55)^3</f>
        <v>50613.859374999993</v>
      </c>
      <c r="AX121" s="34">
        <f>AX107*הנחות!B30*(1+הנחות!B55)^4</f>
        <v>51879.20585937499</v>
      </c>
      <c r="AY121" s="34">
        <f>AY107*הנחות!B30*(1+הנחות!B55)^4</f>
        <v>51879.20585937499</v>
      </c>
      <c r="AZ121" s="34">
        <f>AZ107*הנחות!B30*(1+הנחות!B55)^4</f>
        <v>51879.20585937499</v>
      </c>
      <c r="BA121" s="34">
        <f>BA107*הנחות!B30*(1+הנחות!B55)^4</f>
        <v>51879.20585937499</v>
      </c>
      <c r="BB121" s="34">
        <f>BB107*הנחות!B30*(1+הנחות!B55)^4</f>
        <v>51879.20585937499</v>
      </c>
      <c r="BC121" s="34">
        <f>BC107*הנחות!B30*(1+הנחות!B55)^4</f>
        <v>51879.20585937499</v>
      </c>
      <c r="BD121" s="34">
        <f>BD107*הנחות!B30*(1+הנחות!B55)^4</f>
        <v>51879.20585937499</v>
      </c>
      <c r="BE121" s="34">
        <f>BE107*הנחות!B30*(1+הנחות!B55)^4</f>
        <v>51879.20585937499</v>
      </c>
      <c r="BF121" s="34">
        <f>BF107*הנחות!B30*(1+הנחות!B55)^4</f>
        <v>51879.20585937499</v>
      </c>
      <c r="BG121" s="34">
        <f>BG107*הנחות!B30*(1+הנחות!B55)^4</f>
        <v>51879.20585937499</v>
      </c>
      <c r="BH121" s="34">
        <f>BH107*הנחות!B30*(1+הנחות!B55)^4</f>
        <v>51879.20585937499</v>
      </c>
      <c r="BI121" s="34">
        <f>BI107*הנחות!B30*(1+הנחות!B55)^4</f>
        <v>51879.20585937499</v>
      </c>
    </row>
    <row r="122" spans="1:61" x14ac:dyDescent="0.25">
      <c r="A122" s="31" t="s">
        <v>251</v>
      </c>
      <c r="B122" s="34">
        <f>B108*הנחות!B31*(1+הנחות!B55)^0</f>
        <v>0</v>
      </c>
      <c r="C122" s="34">
        <f>C108*הנחות!B31*(1+הנחות!B55)^0</f>
        <v>0</v>
      </c>
      <c r="D122" s="34">
        <f>D108*הנחות!B31*(1+הנחות!B55)^0</f>
        <v>0</v>
      </c>
      <c r="E122" s="34">
        <f>E108*הנחות!B31*(1+הנחות!B55)^0</f>
        <v>0</v>
      </c>
      <c r="F122" s="34">
        <f>F108*הנחות!B31*(1+הנחות!B55)^0</f>
        <v>0</v>
      </c>
      <c r="G122" s="34">
        <f>G108*הנחות!B31*(1+הנחות!B55)^0</f>
        <v>0</v>
      </c>
      <c r="H122" s="34">
        <f>H108*הנחות!B31*(1+הנחות!B55)^0</f>
        <v>0</v>
      </c>
      <c r="I122" s="34">
        <f>I108*הנחות!B31*(1+הנחות!B55)^0</f>
        <v>0</v>
      </c>
      <c r="J122" s="34">
        <f>J108*הנחות!B31*(1+הנחות!B55)^0</f>
        <v>0</v>
      </c>
      <c r="K122" s="34">
        <f>K108*הנחות!B31*(1+הנחות!B55)^0</f>
        <v>0</v>
      </c>
      <c r="L122" s="34">
        <f>L108*הנחות!B31*(1+הנחות!B55)^0</f>
        <v>0</v>
      </c>
      <c r="M122" s="34">
        <f>M108*הנחות!B31*(1+הנחות!B55)^0</f>
        <v>38000</v>
      </c>
      <c r="N122" s="34">
        <f>N108*הנחות!B31*(1+הנחות!B55)^1</f>
        <v>38950</v>
      </c>
      <c r="O122" s="34">
        <f>O108*הנחות!B31*(1+הנחות!B55)^1</f>
        <v>38950</v>
      </c>
      <c r="P122" s="34">
        <f>P108*הנחות!B31*(1+הנחות!B55)^1</f>
        <v>38950</v>
      </c>
      <c r="Q122" s="34">
        <f>Q108*הנחות!B31*(1+הנחות!B55)^1</f>
        <v>38950</v>
      </c>
      <c r="R122" s="34">
        <f>R108*הנחות!B31*(1+הנחות!B55)^1</f>
        <v>38950</v>
      </c>
      <c r="S122" s="34">
        <f>S108*הנחות!B31*(1+הנחות!B55)^1</f>
        <v>38950</v>
      </c>
      <c r="T122" s="34">
        <f>T108*הנחות!B31*(1+הנחות!B55)^1</f>
        <v>38950</v>
      </c>
      <c r="U122" s="34">
        <f>U108*הנחות!B31*(1+הנחות!B55)^1</f>
        <v>38950</v>
      </c>
      <c r="V122" s="34">
        <f>V108*הנחות!B31*(1+הנחות!B55)^1</f>
        <v>38950</v>
      </c>
      <c r="W122" s="34">
        <f>W108*הנחות!B31*(1+הנחות!B55)^1</f>
        <v>38950</v>
      </c>
      <c r="X122" s="34">
        <f>X108*הנחות!B31*(1+הנחות!B55)^1</f>
        <v>38950</v>
      </c>
      <c r="Y122" s="34">
        <f>Y108*הנחות!B31*(1+הנחות!B55)^1</f>
        <v>38950</v>
      </c>
      <c r="Z122" s="34">
        <f>Z108*הנחות!B31*(1+הנחות!B55)^2</f>
        <v>39923.75</v>
      </c>
      <c r="AA122" s="34">
        <f>AA108*הנחות!B31*(1+הנחות!B55)^2</f>
        <v>39923.75</v>
      </c>
      <c r="AB122" s="34">
        <f>AB108*הנחות!B31*(1+הנחות!B55)^2</f>
        <v>39923.75</v>
      </c>
      <c r="AC122" s="34">
        <f>AC108*הנחות!B31*(1+הנחות!B55)^2</f>
        <v>39923.75</v>
      </c>
      <c r="AD122" s="34">
        <f>AD108*הנחות!B31*(1+הנחות!B55)^2</f>
        <v>39923.75</v>
      </c>
      <c r="AE122" s="34">
        <f>AE108*הנחות!B31*(1+הנחות!B55)^2</f>
        <v>39923.75</v>
      </c>
      <c r="AF122" s="34">
        <f>AF108*הנחות!B31*(1+הנחות!B55)^2</f>
        <v>39923.75</v>
      </c>
      <c r="AG122" s="34">
        <f>AG108*הנחות!B31*(1+הנחות!B55)^2</f>
        <v>39923.75</v>
      </c>
      <c r="AH122" s="34">
        <f>AH108*הנחות!B31*(1+הנחות!B55)^2</f>
        <v>39923.75</v>
      </c>
      <c r="AI122" s="34">
        <f>AI108*הנחות!B31*(1+הנחות!B55)^2</f>
        <v>39923.75</v>
      </c>
      <c r="AJ122" s="34">
        <f>AJ108*הנחות!B31*(1+הנחות!B55)^2</f>
        <v>39923.75</v>
      </c>
      <c r="AK122" s="34">
        <f>AK108*הנחות!B31*(1+הנחות!B55)^2</f>
        <v>39923.75</v>
      </c>
      <c r="AL122" s="34">
        <f>AL108*הנחות!B31*(1+הנחות!B55)^3</f>
        <v>40921.843749999993</v>
      </c>
      <c r="AM122" s="34">
        <f>AM108*הנחות!B31*(1+הנחות!B55)^3</f>
        <v>40921.843749999993</v>
      </c>
      <c r="AN122" s="34">
        <f>AN108*הנחות!B31*(1+הנחות!B55)^3</f>
        <v>40921.843749999993</v>
      </c>
      <c r="AO122" s="34">
        <f>AO108*הנחות!B31*(1+הנחות!B55)^3</f>
        <v>40921.843749999993</v>
      </c>
      <c r="AP122" s="34">
        <f>AP108*הנחות!B31*(1+הנחות!B55)^3</f>
        <v>40921.843749999993</v>
      </c>
      <c r="AQ122" s="34">
        <f>AQ108*הנחות!B31*(1+הנחות!B55)^3</f>
        <v>40921.843749999993</v>
      </c>
      <c r="AR122" s="34">
        <f>AR108*הנחות!B31*(1+הנחות!B55)^3</f>
        <v>40921.843749999993</v>
      </c>
      <c r="AS122" s="34">
        <f>AS108*הנחות!B31*(1+הנחות!B55)^3</f>
        <v>40921.843749999993</v>
      </c>
      <c r="AT122" s="34">
        <f>AT108*הנחות!B31*(1+הנחות!B55)^3</f>
        <v>40921.843749999993</v>
      </c>
      <c r="AU122" s="34">
        <f>AU108*הנחות!B31*(1+הנחות!B55)^3</f>
        <v>40921.843749999993</v>
      </c>
      <c r="AV122" s="34">
        <f>AV108*הנחות!B31*(1+הנחות!B55)^3</f>
        <v>40921.843749999993</v>
      </c>
      <c r="AW122" s="34">
        <f>AW108*הנחות!B31*(1+הנחות!B55)^3</f>
        <v>40921.843749999993</v>
      </c>
      <c r="AX122" s="34">
        <f>AX108*הנחות!B31*(1+הנחות!B55)^4</f>
        <v>41944.889843749988</v>
      </c>
      <c r="AY122" s="34">
        <f>AY108*הנחות!B31*(1+הנחות!B55)^4</f>
        <v>41944.889843749988</v>
      </c>
      <c r="AZ122" s="34">
        <f>AZ108*הנחות!B31*(1+הנחות!B55)^4</f>
        <v>41944.889843749988</v>
      </c>
      <c r="BA122" s="34">
        <f>BA108*הנחות!B31*(1+הנחות!B55)^4</f>
        <v>41944.889843749988</v>
      </c>
      <c r="BB122" s="34">
        <f>BB108*הנחות!B31*(1+הנחות!B55)^4</f>
        <v>41944.889843749988</v>
      </c>
      <c r="BC122" s="34">
        <f>BC108*הנחות!B31*(1+הנחות!B55)^4</f>
        <v>41944.889843749988</v>
      </c>
      <c r="BD122" s="34">
        <f>BD108*הנחות!B31*(1+הנחות!B55)^4</f>
        <v>41944.889843749988</v>
      </c>
      <c r="BE122" s="34">
        <f>BE108*הנחות!B31*(1+הנחות!B55)^4</f>
        <v>41944.889843749988</v>
      </c>
      <c r="BF122" s="34">
        <f>BF108*הנחות!B31*(1+הנחות!B55)^4</f>
        <v>41944.889843749988</v>
      </c>
      <c r="BG122" s="34">
        <f>BG108*הנחות!B31*(1+הנחות!B55)^4</f>
        <v>41944.889843749988</v>
      </c>
      <c r="BH122" s="34">
        <f>BH108*הנחות!B31*(1+הנחות!B55)^4</f>
        <v>41944.889843749988</v>
      </c>
      <c r="BI122" s="34">
        <f>BI108*הנחות!B31*(1+הנחות!B55)^4</f>
        <v>41944.889843749988</v>
      </c>
    </row>
    <row r="123" spans="1:61" x14ac:dyDescent="0.25">
      <c r="A123" s="31" t="s">
        <v>252</v>
      </c>
      <c r="B123" s="34">
        <f>B109*הנחות!B32*(1+הנחות!B55)^0</f>
        <v>0</v>
      </c>
      <c r="C123" s="34">
        <f>C109*הנחות!B32*(1+הנחות!B55)^0</f>
        <v>50000</v>
      </c>
      <c r="D123" s="34">
        <f>D109*הנחות!B32*(1+הנחות!B55)^0</f>
        <v>50000</v>
      </c>
      <c r="E123" s="34">
        <f>E109*הנחות!B32*(1+הנחות!B55)^0</f>
        <v>50000</v>
      </c>
      <c r="F123" s="34">
        <f>F109*הנחות!B32*(1+הנחות!B55)^0</f>
        <v>50000</v>
      </c>
      <c r="G123" s="34">
        <f>G109*הנחות!B32*(1+הנחות!B55)^0</f>
        <v>50000</v>
      </c>
      <c r="H123" s="34">
        <f>H109*הנחות!B32*(1+הנחות!B55)^0</f>
        <v>50000</v>
      </c>
      <c r="I123" s="34">
        <f>I109*הנחות!B32*(1+הנחות!B55)^0</f>
        <v>50000</v>
      </c>
      <c r="J123" s="34">
        <f>J109*הנחות!B32*(1+הנחות!B55)^0</f>
        <v>50000</v>
      </c>
      <c r="K123" s="34">
        <f>K109*הנחות!B32*(1+הנחות!B55)^0</f>
        <v>50000</v>
      </c>
      <c r="L123" s="34">
        <f>L109*הנחות!B32*(1+הנחות!B55)^0</f>
        <v>50000</v>
      </c>
      <c r="M123" s="34">
        <f>M109*הנחות!B32*(1+הנחות!B55)^0</f>
        <v>50000</v>
      </c>
      <c r="N123" s="34">
        <f>N109*הנחות!B32*(1+הנחות!B55)^1</f>
        <v>51249.999999999993</v>
      </c>
      <c r="O123" s="34">
        <f>O109*הנחות!B32*(1+הנחות!B55)^1</f>
        <v>51249.999999999993</v>
      </c>
      <c r="P123" s="34">
        <f>P109*הנחות!B32*(1+הנחות!B55)^1</f>
        <v>51249.999999999993</v>
      </c>
      <c r="Q123" s="34">
        <f>Q109*הנחות!B32*(1+הנחות!B55)^1</f>
        <v>51249.999999999993</v>
      </c>
      <c r="R123" s="34">
        <f>R109*הנחות!B32*(1+הנחות!B55)^1</f>
        <v>51249.999999999993</v>
      </c>
      <c r="S123" s="34">
        <f>S109*הנחות!B32*(1+הנחות!B55)^1</f>
        <v>51249.999999999993</v>
      </c>
      <c r="T123" s="34">
        <f>T109*הנחות!B32*(1+הנחות!B55)^1</f>
        <v>51249.999999999993</v>
      </c>
      <c r="U123" s="34">
        <f>U109*הנחות!B32*(1+הנחות!B55)^1</f>
        <v>51249.999999999993</v>
      </c>
      <c r="V123" s="34">
        <f>V109*הנחות!B32*(1+הנחות!B55)^1</f>
        <v>51249.999999999993</v>
      </c>
      <c r="W123" s="34">
        <f>W109*הנחות!B32*(1+הנחות!B55)^1</f>
        <v>51249.999999999993</v>
      </c>
      <c r="X123" s="34">
        <f>X109*הנחות!B32*(1+הנחות!B55)^1</f>
        <v>51249.999999999993</v>
      </c>
      <c r="Y123" s="34">
        <f>Y109*הנחות!B32*(1+הנחות!B55)^1</f>
        <v>51249.999999999993</v>
      </c>
      <c r="Z123" s="34">
        <f>Z109*הנחות!B32*(1+הנחות!B55)^2</f>
        <v>52531.249999999993</v>
      </c>
      <c r="AA123" s="34">
        <f>AA109*הנחות!B32*(1+הנחות!B55)^2</f>
        <v>52531.249999999993</v>
      </c>
      <c r="AB123" s="34">
        <f>AB109*הנחות!B32*(1+הנחות!B55)^2</f>
        <v>52531.249999999993</v>
      </c>
      <c r="AC123" s="34">
        <f>AC109*הנחות!B32*(1+הנחות!B55)^2</f>
        <v>52531.249999999993</v>
      </c>
      <c r="AD123" s="34">
        <f>AD109*הנחות!B32*(1+הנחות!B55)^2</f>
        <v>52531.249999999993</v>
      </c>
      <c r="AE123" s="34">
        <f>AE109*הנחות!B32*(1+הנחות!B55)^2</f>
        <v>52531.249999999993</v>
      </c>
      <c r="AF123" s="34">
        <f>AF109*הנחות!B32*(1+הנחות!B55)^2</f>
        <v>52531.249999999993</v>
      </c>
      <c r="AG123" s="34">
        <f>AG109*הנחות!B32*(1+הנחות!B55)^2</f>
        <v>52531.249999999993</v>
      </c>
      <c r="AH123" s="34">
        <f>AH109*הנחות!B32*(1+הנחות!B55)^2</f>
        <v>52531.249999999993</v>
      </c>
      <c r="AI123" s="34">
        <f>AI109*הנחות!B32*(1+הנחות!B55)^2</f>
        <v>52531.249999999993</v>
      </c>
      <c r="AJ123" s="34">
        <f>AJ109*הנחות!B32*(1+הנחות!B55)^2</f>
        <v>52531.249999999993</v>
      </c>
      <c r="AK123" s="34">
        <f>AK109*הנחות!B32*(1+הנחות!B55)^2</f>
        <v>52531.249999999993</v>
      </c>
      <c r="AL123" s="34">
        <f>AL109*הנחות!B32*(1+הנחות!B55)^3</f>
        <v>53844.531249999993</v>
      </c>
      <c r="AM123" s="34">
        <f>AM109*הנחות!B32*(1+הנחות!B55)^3</f>
        <v>53844.531249999993</v>
      </c>
      <c r="AN123" s="34">
        <f>AN109*הנחות!B32*(1+הנחות!B55)^3</f>
        <v>53844.531249999993</v>
      </c>
      <c r="AO123" s="34">
        <f>AO109*הנחות!B32*(1+הנחות!B55)^3</f>
        <v>53844.531249999993</v>
      </c>
      <c r="AP123" s="34">
        <f>AP109*הנחות!B32*(1+הנחות!B55)^3</f>
        <v>53844.531249999993</v>
      </c>
      <c r="AQ123" s="34">
        <f>AQ109*הנחות!B32*(1+הנחות!B55)^3</f>
        <v>53844.531249999993</v>
      </c>
      <c r="AR123" s="34">
        <f>AR109*הנחות!B32*(1+הנחות!B55)^3</f>
        <v>53844.531249999993</v>
      </c>
      <c r="AS123" s="34">
        <f>AS109*הנחות!B32*(1+הנחות!B55)^3</f>
        <v>53844.531249999993</v>
      </c>
      <c r="AT123" s="34">
        <f>AT109*הנחות!B32*(1+הנחות!B55)^3</f>
        <v>53844.531249999993</v>
      </c>
      <c r="AU123" s="34">
        <f>AU109*הנחות!B32*(1+הנחות!B55)^3</f>
        <v>53844.531249999993</v>
      </c>
      <c r="AV123" s="34">
        <f>AV109*הנחות!B32*(1+הנחות!B55)^3</f>
        <v>53844.531249999993</v>
      </c>
      <c r="AW123" s="34">
        <f>AW109*הנחות!B32*(1+הנחות!B55)^3</f>
        <v>53844.531249999993</v>
      </c>
      <c r="AX123" s="34">
        <f>AX109*הנחות!B32*(1+הנחות!B55)^4</f>
        <v>55190.644531249985</v>
      </c>
      <c r="AY123" s="34">
        <f>AY109*הנחות!B32*(1+הנחות!B55)^4</f>
        <v>55190.644531249985</v>
      </c>
      <c r="AZ123" s="34">
        <f>AZ109*הנחות!B32*(1+הנחות!B55)^4</f>
        <v>55190.644531249985</v>
      </c>
      <c r="BA123" s="34">
        <f>BA109*הנחות!B32*(1+הנחות!B55)^4</f>
        <v>55190.644531249985</v>
      </c>
      <c r="BB123" s="34">
        <f>BB109*הנחות!B32*(1+הנחות!B55)^4</f>
        <v>55190.644531249985</v>
      </c>
      <c r="BC123" s="34">
        <f>BC109*הנחות!B32*(1+הנחות!B55)^4</f>
        <v>55190.644531249985</v>
      </c>
      <c r="BD123" s="34">
        <f>BD109*הנחות!B32*(1+הנחות!B55)^4</f>
        <v>55190.644531249985</v>
      </c>
      <c r="BE123" s="34">
        <f>BE109*הנחות!B32*(1+הנחות!B55)^4</f>
        <v>55190.644531249985</v>
      </c>
      <c r="BF123" s="34">
        <f>BF109*הנחות!B32*(1+הנחות!B55)^4</f>
        <v>55190.644531249985</v>
      </c>
      <c r="BG123" s="34">
        <f>BG109*הנחות!B32*(1+הנחות!B55)^4</f>
        <v>55190.644531249985</v>
      </c>
      <c r="BH123" s="34">
        <f>BH109*הנחות!B32*(1+הנחות!B55)^4</f>
        <v>55190.644531249985</v>
      </c>
      <c r="BI123" s="34">
        <f>BI109*הנחות!B32*(1+הנחות!B55)^4</f>
        <v>55190.644531249985</v>
      </c>
    </row>
    <row r="124" spans="1:61" x14ac:dyDescent="0.25">
      <c r="A124" s="31" t="s">
        <v>253</v>
      </c>
      <c r="B124" s="34">
        <f>B110*הנחות!B33*(1+הנחות!B55)^0</f>
        <v>0</v>
      </c>
      <c r="C124" s="34">
        <f>C110*הנחות!B33*(1+הנחות!B55)^0</f>
        <v>0</v>
      </c>
      <c r="D124" s="34">
        <f>D110*הנחות!B33*(1+הנחות!B55)^0</f>
        <v>0</v>
      </c>
      <c r="E124" s="34">
        <f>E110*הנחות!B33*(1+הנחות!B55)^0</f>
        <v>0</v>
      </c>
      <c r="F124" s="34">
        <f>F110*הנחות!B33*(1+הנחות!B55)^0</f>
        <v>0</v>
      </c>
      <c r="G124" s="34">
        <f>G110*הנחות!B33*(1+הנחות!B55)^0</f>
        <v>0</v>
      </c>
      <c r="H124" s="34">
        <f>H110*הנחות!B33*(1+הנחות!B55)^0</f>
        <v>0</v>
      </c>
      <c r="I124" s="34">
        <f>I110*הנחות!B33*(1+הנחות!B55)^0</f>
        <v>0</v>
      </c>
      <c r="J124" s="34">
        <f>J110*הנחות!B33*(1+הנחות!B55)^0</f>
        <v>0</v>
      </c>
      <c r="K124" s="34">
        <f>K110*הנחות!B33*(1+הנחות!B55)^0</f>
        <v>0</v>
      </c>
      <c r="L124" s="34">
        <f>L110*הנחות!B33*(1+הנחות!B55)^0</f>
        <v>0</v>
      </c>
      <c r="M124" s="34">
        <f>M110*הנחות!B33*(1+הנחות!B55)^0</f>
        <v>0</v>
      </c>
      <c r="N124" s="34">
        <f>N110*הנחות!B33*(1+הנחות!B55)^1</f>
        <v>0</v>
      </c>
      <c r="O124" s="34">
        <f>O110*הנחות!B33*(1+הנחות!B55)^1</f>
        <v>0</v>
      </c>
      <c r="P124" s="34">
        <f>P110*הנחות!B33*(1+הנחות!B55)^1</f>
        <v>0</v>
      </c>
      <c r="Q124" s="34">
        <f>Q110*הנחות!B33*(1+הנחות!B55)^1</f>
        <v>0</v>
      </c>
      <c r="R124" s="34">
        <f>R110*הנחות!B33*(1+הנחות!B55)^1</f>
        <v>0</v>
      </c>
      <c r="S124" s="34">
        <f>S110*הנחות!B33*(1+הנחות!B55)^1</f>
        <v>0</v>
      </c>
      <c r="T124" s="34">
        <f>T110*הנחות!B33*(1+הנחות!B55)^1</f>
        <v>0</v>
      </c>
      <c r="U124" s="34">
        <f>U110*הנחות!B33*(1+הנחות!B55)^1</f>
        <v>32800</v>
      </c>
      <c r="V124" s="34">
        <f>V110*הנחות!B33*(1+הנחות!B55)^1</f>
        <v>32800</v>
      </c>
      <c r="W124" s="34">
        <f>W110*הנחות!B33*(1+הנחות!B55)^1</f>
        <v>32800</v>
      </c>
      <c r="X124" s="34">
        <f>X110*הנחות!B33*(1+הנחות!B55)^1</f>
        <v>32800</v>
      </c>
      <c r="Y124" s="34">
        <f>Y110*הנחות!B33*(1+הנחות!B55)^1</f>
        <v>32800</v>
      </c>
      <c r="Z124" s="34">
        <f>Z110*הנחות!B33*(1+הנחות!B55)^2</f>
        <v>33620</v>
      </c>
      <c r="AA124" s="34">
        <f>AA110*הנחות!B33*(1+הנחות!B55)^2</f>
        <v>33620</v>
      </c>
      <c r="AB124" s="34">
        <f>AB110*הנחות!B33*(1+הנחות!B55)^2</f>
        <v>33620</v>
      </c>
      <c r="AC124" s="34">
        <f>AC110*הנחות!B33*(1+הנחות!B55)^2</f>
        <v>33620</v>
      </c>
      <c r="AD124" s="34">
        <f>AD110*הנחות!B33*(1+הנחות!B55)^2</f>
        <v>33620</v>
      </c>
      <c r="AE124" s="34">
        <f>AE110*הנחות!B33*(1+הנחות!B55)^2</f>
        <v>33620</v>
      </c>
      <c r="AF124" s="34">
        <f>AF110*הנחות!B33*(1+הנחות!B55)^2</f>
        <v>33620</v>
      </c>
      <c r="AG124" s="34">
        <f>AG110*הנחות!B33*(1+הנחות!B55)^2</f>
        <v>33620</v>
      </c>
      <c r="AH124" s="34">
        <f>AH110*הנחות!B33*(1+הנחות!B55)^2</f>
        <v>33620</v>
      </c>
      <c r="AI124" s="34">
        <f>AI110*הנחות!B33*(1+הנחות!B55)^2</f>
        <v>33620</v>
      </c>
      <c r="AJ124" s="34">
        <f>AJ110*הנחות!B33*(1+הנחות!B55)^2</f>
        <v>33620</v>
      </c>
      <c r="AK124" s="34">
        <f>AK110*הנחות!B33*(1+הנחות!B55)^2</f>
        <v>33620</v>
      </c>
      <c r="AL124" s="34">
        <f>AL110*הנחות!B33*(1+הנחות!B55)^3</f>
        <v>34460.499999999993</v>
      </c>
      <c r="AM124" s="34">
        <f>AM110*הנחות!B33*(1+הנחות!B55)^3</f>
        <v>34460.499999999993</v>
      </c>
      <c r="AN124" s="34">
        <f>AN110*הנחות!B33*(1+הנחות!B55)^3</f>
        <v>34460.499999999993</v>
      </c>
      <c r="AO124" s="34">
        <f>AO110*הנחות!B33*(1+הנחות!B55)^3</f>
        <v>34460.499999999993</v>
      </c>
      <c r="AP124" s="34">
        <f>AP110*הנחות!B33*(1+הנחות!B55)^3</f>
        <v>34460.499999999993</v>
      </c>
      <c r="AQ124" s="34">
        <f>AQ110*הנחות!B33*(1+הנחות!B55)^3</f>
        <v>34460.499999999993</v>
      </c>
      <c r="AR124" s="34">
        <f>AR110*הנחות!B33*(1+הנחות!B55)^3</f>
        <v>34460.499999999993</v>
      </c>
      <c r="AS124" s="34">
        <f>AS110*הנחות!B33*(1+הנחות!B55)^3</f>
        <v>34460.499999999993</v>
      </c>
      <c r="AT124" s="34">
        <f>AT110*הנחות!B33*(1+הנחות!B55)^3</f>
        <v>34460.499999999993</v>
      </c>
      <c r="AU124" s="34">
        <f>AU110*הנחות!B33*(1+הנחות!B55)^3</f>
        <v>34460.499999999993</v>
      </c>
      <c r="AV124" s="34">
        <f>AV110*הנחות!B33*(1+הנחות!B55)^3</f>
        <v>34460.499999999993</v>
      </c>
      <c r="AW124" s="34">
        <f>AW110*הנחות!B33*(1+הנחות!B55)^3</f>
        <v>34460.499999999993</v>
      </c>
      <c r="AX124" s="34">
        <f>AX110*הנחות!B33*(1+הנחות!B55)^4</f>
        <v>35322.01249999999</v>
      </c>
      <c r="AY124" s="34">
        <f>AY110*הנחות!B33*(1+הנחות!B55)^4</f>
        <v>35322.01249999999</v>
      </c>
      <c r="AZ124" s="34">
        <f>AZ110*הנחות!B33*(1+הנחות!B55)^4</f>
        <v>35322.01249999999</v>
      </c>
      <c r="BA124" s="34">
        <f>BA110*הנחות!B33*(1+הנחות!B55)^4</f>
        <v>35322.01249999999</v>
      </c>
      <c r="BB124" s="34">
        <f>BB110*הנחות!B33*(1+הנחות!B55)^4</f>
        <v>35322.01249999999</v>
      </c>
      <c r="BC124" s="34">
        <f>BC110*הנחות!B33*(1+הנחות!B55)^4</f>
        <v>35322.01249999999</v>
      </c>
      <c r="BD124" s="34">
        <f>BD110*הנחות!B33*(1+הנחות!B55)^4</f>
        <v>35322.01249999999</v>
      </c>
      <c r="BE124" s="34">
        <f>BE110*הנחות!B33*(1+הנחות!B55)^4</f>
        <v>35322.01249999999</v>
      </c>
      <c r="BF124" s="34">
        <f>BF110*הנחות!B33*(1+הנחות!B55)^4</f>
        <v>35322.01249999999</v>
      </c>
      <c r="BG124" s="34">
        <f>BG110*הנחות!B33*(1+הנחות!B55)^4</f>
        <v>35322.01249999999</v>
      </c>
      <c r="BH124" s="34">
        <f>BH110*הנחות!B33*(1+הנחות!B55)^4</f>
        <v>35322.01249999999</v>
      </c>
      <c r="BI124" s="34">
        <f>BI110*הנחות!B33*(1+הנחות!B55)^4</f>
        <v>35322.01249999999</v>
      </c>
    </row>
    <row r="125" spans="1:61" x14ac:dyDescent="0.25">
      <c r="A125" s="31" t="s">
        <v>254</v>
      </c>
      <c r="B125" s="34">
        <f>B111*הנחות!B34*(1+הנחות!B55)^0</f>
        <v>0</v>
      </c>
      <c r="C125" s="34">
        <f>C111*הנחות!B34*(1+הנחות!B55)^0</f>
        <v>0</v>
      </c>
      <c r="D125" s="34">
        <f>D111*הנחות!B34*(1+הנחות!B55)^0</f>
        <v>0</v>
      </c>
      <c r="E125" s="34">
        <f>E111*הנחות!B34*(1+הנחות!B55)^0</f>
        <v>0</v>
      </c>
      <c r="F125" s="34">
        <f>F111*הנחות!B34*(1+הנחות!B55)^0</f>
        <v>0</v>
      </c>
      <c r="G125" s="34">
        <f>G111*הנחות!B34*(1+הנחות!B55)^0</f>
        <v>0</v>
      </c>
      <c r="H125" s="34">
        <f>H111*הנחות!B34*(1+הנחות!B55)^0</f>
        <v>0</v>
      </c>
      <c r="I125" s="34">
        <f>I111*הנחות!B34*(1+הנחות!B55)^0</f>
        <v>0</v>
      </c>
      <c r="J125" s="34">
        <f>J111*הנחות!B34*(1+הנחות!B55)^0</f>
        <v>0</v>
      </c>
      <c r="K125" s="34">
        <f>K111*הנחות!B34*(1+הנחות!B55)^0</f>
        <v>0</v>
      </c>
      <c r="L125" s="34">
        <f>L111*הנחות!B34*(1+הנחות!B55)^0</f>
        <v>0</v>
      </c>
      <c r="M125" s="34">
        <f>M111*הנחות!B34*(1+הנחות!B55)^0</f>
        <v>0</v>
      </c>
      <c r="N125" s="34">
        <f>N111*הנחות!B34*(1+הנחות!B55)^1</f>
        <v>0</v>
      </c>
      <c r="O125" s="34">
        <f>O111*הנחות!B34*(1+הנחות!B55)^1</f>
        <v>22549.999999999996</v>
      </c>
      <c r="P125" s="34">
        <f>P111*הנחות!B34*(1+הנחות!B55)^1</f>
        <v>22549.999999999996</v>
      </c>
      <c r="Q125" s="34">
        <f>Q111*הנחות!B34*(1+הנחות!B55)^1</f>
        <v>22549.999999999996</v>
      </c>
      <c r="R125" s="34">
        <f>R111*הנחות!B34*(1+הנחות!B55)^1</f>
        <v>22549.999999999996</v>
      </c>
      <c r="S125" s="34">
        <f>S111*הנחות!B34*(1+הנחות!B55)^1</f>
        <v>22549.999999999996</v>
      </c>
      <c r="T125" s="34">
        <f>T111*הנחות!B34*(1+הנחות!B55)^1</f>
        <v>22549.999999999996</v>
      </c>
      <c r="U125" s="34">
        <f>U111*הנחות!B34*(1+הנחות!B55)^1</f>
        <v>22549.999999999996</v>
      </c>
      <c r="V125" s="34">
        <f>V111*הנחות!B34*(1+הנחות!B55)^1</f>
        <v>22549.999999999996</v>
      </c>
      <c r="W125" s="34">
        <f>W111*הנחות!B34*(1+הנחות!B55)^1</f>
        <v>22549.999999999996</v>
      </c>
      <c r="X125" s="34">
        <f>X111*הנחות!B34*(1+הנחות!B55)^1</f>
        <v>22549.999999999996</v>
      </c>
      <c r="Y125" s="34">
        <f>Y111*הנחות!B34*(1+הנחות!B55)^1</f>
        <v>22549.999999999996</v>
      </c>
      <c r="Z125" s="34">
        <f>Z111*הנחות!B34*(1+הנחות!B55)^2</f>
        <v>23113.75</v>
      </c>
      <c r="AA125" s="34">
        <f>AA111*הנחות!B34*(1+הנחות!B55)^2</f>
        <v>23113.75</v>
      </c>
      <c r="AB125" s="34">
        <f>AB111*הנחות!B34*(1+הנחות!B55)^2</f>
        <v>23113.75</v>
      </c>
      <c r="AC125" s="34">
        <f>AC111*הנחות!B34*(1+הנחות!B55)^2</f>
        <v>23113.75</v>
      </c>
      <c r="AD125" s="34">
        <f>AD111*הנחות!B34*(1+הנחות!B55)^2</f>
        <v>23113.75</v>
      </c>
      <c r="AE125" s="34">
        <f>AE111*הנחות!B34*(1+הנחות!B55)^2</f>
        <v>23113.75</v>
      </c>
      <c r="AF125" s="34">
        <f>AF111*הנחות!B34*(1+הנחות!B55)^2</f>
        <v>23113.75</v>
      </c>
      <c r="AG125" s="34">
        <f>AG111*הנחות!B34*(1+הנחות!B55)^2</f>
        <v>23113.75</v>
      </c>
      <c r="AH125" s="34">
        <f>AH111*הנחות!B34*(1+הנחות!B55)^2</f>
        <v>23113.75</v>
      </c>
      <c r="AI125" s="34">
        <f>AI111*הנחות!B34*(1+הנחות!B55)^2</f>
        <v>23113.75</v>
      </c>
      <c r="AJ125" s="34">
        <f>AJ111*הנחות!B34*(1+הנחות!B55)^2</f>
        <v>23113.75</v>
      </c>
      <c r="AK125" s="34">
        <f>AK111*הנחות!B34*(1+הנחות!B55)^2</f>
        <v>23113.75</v>
      </c>
      <c r="AL125" s="34">
        <f>AL111*הנחות!B34*(1+הנחות!B55)^3</f>
        <v>23691.593749999996</v>
      </c>
      <c r="AM125" s="34">
        <f>AM111*הנחות!B34*(1+הנחות!B55)^3</f>
        <v>23691.593749999996</v>
      </c>
      <c r="AN125" s="34">
        <f>AN111*הנחות!B34*(1+הנחות!B55)^3</f>
        <v>23691.593749999996</v>
      </c>
      <c r="AO125" s="34">
        <f>AO111*הנחות!B34*(1+הנחות!B55)^3</f>
        <v>23691.593749999996</v>
      </c>
      <c r="AP125" s="34">
        <f>AP111*הנחות!B34*(1+הנחות!B55)^3</f>
        <v>23691.593749999996</v>
      </c>
      <c r="AQ125" s="34">
        <f>AQ111*הנחות!B34*(1+הנחות!B55)^3</f>
        <v>23691.593749999996</v>
      </c>
      <c r="AR125" s="34">
        <f>AR111*הנחות!B34*(1+הנחות!B55)^3</f>
        <v>23691.593749999996</v>
      </c>
      <c r="AS125" s="34">
        <f>AS111*הנחות!B34*(1+הנחות!B55)^3</f>
        <v>23691.593749999996</v>
      </c>
      <c r="AT125" s="34">
        <f>AT111*הנחות!B34*(1+הנחות!B55)^3</f>
        <v>23691.593749999996</v>
      </c>
      <c r="AU125" s="34">
        <f>AU111*הנחות!B34*(1+הנחות!B55)^3</f>
        <v>23691.593749999996</v>
      </c>
      <c r="AV125" s="34">
        <f>AV111*הנחות!B34*(1+הנחות!B55)^3</f>
        <v>23691.593749999996</v>
      </c>
      <c r="AW125" s="34">
        <f>AW111*הנחות!B34*(1+הנחות!B55)^3</f>
        <v>23691.593749999996</v>
      </c>
      <c r="AX125" s="34">
        <f>AX111*הנחות!B34*(1+הנחות!B55)^4</f>
        <v>24283.883593749993</v>
      </c>
      <c r="AY125" s="34">
        <f>AY111*הנחות!B34*(1+הנחות!B55)^4</f>
        <v>24283.883593749993</v>
      </c>
      <c r="AZ125" s="34">
        <f>AZ111*הנחות!B34*(1+הנחות!B55)^4</f>
        <v>24283.883593749993</v>
      </c>
      <c r="BA125" s="34">
        <f>BA111*הנחות!B34*(1+הנחות!B55)^4</f>
        <v>24283.883593749993</v>
      </c>
      <c r="BB125" s="34">
        <f>BB111*הנחות!B34*(1+הנחות!B55)^4</f>
        <v>24283.883593749993</v>
      </c>
      <c r="BC125" s="34">
        <f>BC111*הנחות!B34*(1+הנחות!B55)^4</f>
        <v>24283.883593749993</v>
      </c>
      <c r="BD125" s="34">
        <f>BD111*הנחות!B34*(1+הנחות!B55)^4</f>
        <v>24283.883593749993</v>
      </c>
      <c r="BE125" s="34">
        <f>BE111*הנחות!B34*(1+הנחות!B55)^4</f>
        <v>24283.883593749993</v>
      </c>
      <c r="BF125" s="34">
        <f>BF111*הנחות!B34*(1+הנחות!B55)^4</f>
        <v>24283.883593749993</v>
      </c>
      <c r="BG125" s="34">
        <f>BG111*הנחות!B34*(1+הנחות!B55)^4</f>
        <v>24283.883593749993</v>
      </c>
      <c r="BH125" s="34">
        <f>BH111*הנחות!B34*(1+הנחות!B55)^4</f>
        <v>24283.883593749993</v>
      </c>
      <c r="BI125" s="34">
        <f>BI111*הנחות!B34*(1+הנחות!B55)^4</f>
        <v>24283.883593749993</v>
      </c>
    </row>
    <row r="126" spans="1:61" x14ac:dyDescent="0.25">
      <c r="A126" s="31" t="s">
        <v>255</v>
      </c>
      <c r="B126" s="34">
        <f>B112*הנחות!B35*(1+הנחות!B55)^0</f>
        <v>0</v>
      </c>
      <c r="C126" s="34">
        <f>C112*הנחות!B35*(1+הנחות!B55)^0</f>
        <v>0</v>
      </c>
      <c r="D126" s="34">
        <f>D112*הנחות!B35*(1+הנחות!B55)^0</f>
        <v>0</v>
      </c>
      <c r="E126" s="34">
        <f>E112*הנחות!B35*(1+הנחות!B55)^0</f>
        <v>0</v>
      </c>
      <c r="F126" s="34">
        <f>F112*הנחות!B35*(1+הנחות!B55)^0</f>
        <v>0</v>
      </c>
      <c r="G126" s="34">
        <f>G112*הנחות!B35*(1+הנחות!B55)^0</f>
        <v>0</v>
      </c>
      <c r="H126" s="34">
        <f>H112*הנחות!B35*(1+הנחות!B55)^0</f>
        <v>0</v>
      </c>
      <c r="I126" s="34">
        <f>I112*הנחות!B35*(1+הנחות!B55)^0</f>
        <v>0</v>
      </c>
      <c r="J126" s="34">
        <f>J112*הנחות!B35*(1+הנחות!B55)^0</f>
        <v>0</v>
      </c>
      <c r="K126" s="34">
        <f>K112*הנחות!B35*(1+הנחות!B55)^0</f>
        <v>0</v>
      </c>
      <c r="L126" s="34">
        <f>L112*הנחות!B35*(1+הנחות!B55)^0</f>
        <v>0</v>
      </c>
      <c r="M126" s="34">
        <f>M112*הנחות!B35*(1+הנחות!B55)^0</f>
        <v>0</v>
      </c>
      <c r="N126" s="34">
        <f>N112*הנחות!B35*(1+הנחות!B55)^1</f>
        <v>0</v>
      </c>
      <c r="O126" s="34">
        <f>O112*הנחות!B35*(1+הנחות!B55)^1</f>
        <v>0</v>
      </c>
      <c r="P126" s="34">
        <f>P112*הנחות!B35*(1+הנחות!B55)^1</f>
        <v>0</v>
      </c>
      <c r="Q126" s="34">
        <f>Q112*הנחות!B35*(1+הנחות!B55)^1</f>
        <v>0</v>
      </c>
      <c r="R126" s="34">
        <f>R112*הנחות!B35*(1+הנחות!B55)^1</f>
        <v>0</v>
      </c>
      <c r="S126" s="34">
        <f>S112*הנחות!B35*(1+הנחות!B55)^1</f>
        <v>0</v>
      </c>
      <c r="T126" s="34">
        <f>T112*הנחות!B35*(1+הנחות!B55)^1</f>
        <v>0</v>
      </c>
      <c r="U126" s="34">
        <f>U112*הנחות!B35*(1+הנחות!B55)^1</f>
        <v>0</v>
      </c>
      <c r="V126" s="34">
        <f>V112*הנחות!B35*(1+הנחות!B55)^1</f>
        <v>0</v>
      </c>
      <c r="W126" s="34">
        <f>W112*הנחות!B35*(1+הנחות!B55)^1</f>
        <v>0</v>
      </c>
      <c r="X126" s="34">
        <f>X112*הנחות!B35*(1+הנחות!B55)^1</f>
        <v>0</v>
      </c>
      <c r="Y126" s="34">
        <f>Y112*הנחות!B35*(1+הנחות!B55)^1</f>
        <v>0</v>
      </c>
      <c r="Z126" s="34">
        <f>Z112*הנחות!B35*(1+הנחות!B55)^2</f>
        <v>36771.875</v>
      </c>
      <c r="AA126" s="34">
        <f>AA112*הנחות!B35*(1+הנחות!B55)^2</f>
        <v>36771.875</v>
      </c>
      <c r="AB126" s="34">
        <f>AB112*הנחות!B35*(1+הנחות!B55)^2</f>
        <v>36771.875</v>
      </c>
      <c r="AC126" s="34">
        <f>AC112*הנחות!B35*(1+הנחות!B55)^2</f>
        <v>36771.875</v>
      </c>
      <c r="AD126" s="34">
        <f>AD112*הנחות!B35*(1+הנחות!B55)^2</f>
        <v>36771.875</v>
      </c>
      <c r="AE126" s="34">
        <f>AE112*הנחות!B35*(1+הנחות!B55)^2</f>
        <v>36771.875</v>
      </c>
      <c r="AF126" s="34">
        <f>AF112*הנחות!B35*(1+הנחות!B55)^2</f>
        <v>36771.875</v>
      </c>
      <c r="AG126" s="34">
        <f>AG112*הנחות!B35*(1+הנחות!B55)^2</f>
        <v>36771.875</v>
      </c>
      <c r="AH126" s="34">
        <f>AH112*הנחות!B35*(1+הנחות!B55)^2</f>
        <v>36771.875</v>
      </c>
      <c r="AI126" s="34">
        <f>AI112*הנחות!B35*(1+הנחות!B55)^2</f>
        <v>36771.875</v>
      </c>
      <c r="AJ126" s="34">
        <f>AJ112*הנחות!B35*(1+הנחות!B55)^2</f>
        <v>36771.875</v>
      </c>
      <c r="AK126" s="34">
        <f>AK112*הנחות!B35*(1+הנחות!B55)^2</f>
        <v>36771.875</v>
      </c>
      <c r="AL126" s="34">
        <f>AL112*הנחות!B35*(1+הנחות!B55)^3</f>
        <v>37691.171874999993</v>
      </c>
      <c r="AM126" s="34">
        <f>AM112*הנחות!B35*(1+הנחות!B55)^3</f>
        <v>37691.171874999993</v>
      </c>
      <c r="AN126" s="34">
        <f>AN112*הנחות!B35*(1+הנחות!B55)^3</f>
        <v>37691.171874999993</v>
      </c>
      <c r="AO126" s="34">
        <f>AO112*הנחות!B35*(1+הנחות!B55)^3</f>
        <v>37691.171874999993</v>
      </c>
      <c r="AP126" s="34">
        <f>AP112*הנחות!B35*(1+הנחות!B55)^3</f>
        <v>37691.171874999993</v>
      </c>
      <c r="AQ126" s="34">
        <f>AQ112*הנחות!B35*(1+הנחות!B55)^3</f>
        <v>37691.171874999993</v>
      </c>
      <c r="AR126" s="34">
        <f>AR112*הנחות!B35*(1+הנחות!B55)^3</f>
        <v>37691.171874999993</v>
      </c>
      <c r="AS126" s="34">
        <f>AS112*הנחות!B35*(1+הנחות!B55)^3</f>
        <v>37691.171874999993</v>
      </c>
      <c r="AT126" s="34">
        <f>AT112*הנחות!B35*(1+הנחות!B55)^3</f>
        <v>37691.171874999993</v>
      </c>
      <c r="AU126" s="34">
        <f>AU112*הנחות!B35*(1+הנחות!B55)^3</f>
        <v>37691.171874999993</v>
      </c>
      <c r="AV126" s="34">
        <f>AV112*הנחות!B35*(1+הנחות!B55)^3</f>
        <v>37691.171874999993</v>
      </c>
      <c r="AW126" s="34">
        <f>AW112*הנחות!B35*(1+הנחות!B55)^3</f>
        <v>37691.171874999993</v>
      </c>
      <c r="AX126" s="34">
        <f>AX112*הנחות!B35*(1+הנחות!B55)^4</f>
        <v>38633.451171874993</v>
      </c>
      <c r="AY126" s="34">
        <f>AY112*הנחות!B35*(1+הנחות!B55)^4</f>
        <v>38633.451171874993</v>
      </c>
      <c r="AZ126" s="34">
        <f>AZ112*הנחות!B35*(1+הנחות!B55)^4</f>
        <v>38633.451171874993</v>
      </c>
      <c r="BA126" s="34">
        <f>BA112*הנחות!B35*(1+הנחות!B55)^4</f>
        <v>38633.451171874993</v>
      </c>
      <c r="BB126" s="34">
        <f>BB112*הנחות!B35*(1+הנחות!B55)^4</f>
        <v>38633.451171874993</v>
      </c>
      <c r="BC126" s="34">
        <f>BC112*הנחות!B35*(1+הנחות!B55)^4</f>
        <v>38633.451171874993</v>
      </c>
      <c r="BD126" s="34">
        <f>BD112*הנחות!B35*(1+הנחות!B55)^4</f>
        <v>38633.451171874993</v>
      </c>
      <c r="BE126" s="34">
        <f>BE112*הנחות!B35*(1+הנחות!B55)^4</f>
        <v>38633.451171874993</v>
      </c>
      <c r="BF126" s="34">
        <f>BF112*הנחות!B35*(1+הנחות!B55)^4</f>
        <v>38633.451171874993</v>
      </c>
      <c r="BG126" s="34">
        <f>BG112*הנחות!B35*(1+הנחות!B55)^4</f>
        <v>38633.451171874993</v>
      </c>
      <c r="BH126" s="34">
        <f>BH112*הנחות!B35*(1+הנחות!B55)^4</f>
        <v>38633.451171874993</v>
      </c>
      <c r="BI126" s="34">
        <f>BI112*הנחות!B35*(1+הנחות!B55)^4</f>
        <v>38633.451171874993</v>
      </c>
    </row>
    <row r="127" spans="1:61" x14ac:dyDescent="0.25">
      <c r="A127" s="31" t="s">
        <v>256</v>
      </c>
      <c r="B127" s="34">
        <f>B113*הנחות!B36*(1+הנחות!B55)^0</f>
        <v>0</v>
      </c>
      <c r="C127" s="34">
        <f>C113*הנחות!B36*(1+הנחות!B55)^0</f>
        <v>0</v>
      </c>
      <c r="D127" s="34">
        <f>D113*הנחות!B36*(1+הנחות!B55)^0</f>
        <v>0</v>
      </c>
      <c r="E127" s="34">
        <f>E113*הנחות!B36*(1+הנחות!B55)^0</f>
        <v>0</v>
      </c>
      <c r="F127" s="34">
        <f>F113*הנחות!B36*(1+הנחות!B55)^0</f>
        <v>0</v>
      </c>
      <c r="G127" s="34">
        <f>G113*הנחות!B36*(1+הנחות!B55)^0</f>
        <v>0</v>
      </c>
      <c r="H127" s="34">
        <f>H113*הנחות!B36*(1+הנחות!B55)^0</f>
        <v>0</v>
      </c>
      <c r="I127" s="34">
        <f>I113*הנחות!B36*(1+הנחות!B55)^0</f>
        <v>0</v>
      </c>
      <c r="J127" s="34">
        <f>J113*הנחות!B36*(1+הנחות!B55)^0</f>
        <v>0</v>
      </c>
      <c r="K127" s="34">
        <f>K113*הנחות!B36*(1+הנחות!B55)^0</f>
        <v>0</v>
      </c>
      <c r="L127" s="34">
        <f>L113*הנחות!B36*(1+הנחות!B55)^0</f>
        <v>0</v>
      </c>
      <c r="M127" s="34">
        <f>M113*הנחות!B36*(1+הנחות!B55)^0</f>
        <v>0</v>
      </c>
      <c r="N127" s="34">
        <f>N113*הנחות!B36*(1+הנחות!B55)^1</f>
        <v>0</v>
      </c>
      <c r="O127" s="34">
        <f>O113*הנחות!B36*(1+הנחות!B55)^1</f>
        <v>0</v>
      </c>
      <c r="P127" s="34">
        <f>P113*הנחות!B36*(1+הנחות!B55)^1</f>
        <v>0</v>
      </c>
      <c r="Q127" s="34">
        <f>Q113*הנחות!B36*(1+הנחות!B55)^1</f>
        <v>0</v>
      </c>
      <c r="R127" s="34">
        <f>R113*הנחות!B36*(1+הנחות!B55)^1</f>
        <v>0</v>
      </c>
      <c r="S127" s="34">
        <f>S113*הנחות!B36*(1+הנחות!B55)^1</f>
        <v>0</v>
      </c>
      <c r="T127" s="34">
        <f>T113*הנחות!B36*(1+הנחות!B55)^1</f>
        <v>0</v>
      </c>
      <c r="U127" s="34">
        <f>U113*הנחות!B36*(1+הנחות!B55)^1</f>
        <v>0</v>
      </c>
      <c r="V127" s="34">
        <f>V113*הנחות!B36*(1+הנחות!B55)^1</f>
        <v>0</v>
      </c>
      <c r="W127" s="34">
        <f>W113*הנחות!B36*(1+הנחות!B55)^1</f>
        <v>0</v>
      </c>
      <c r="X127" s="34">
        <f>X113*הנחות!B36*(1+הנחות!B55)^1</f>
        <v>0</v>
      </c>
      <c r="Y127" s="34">
        <f>Y113*הנחות!B36*(1+הנחות!B55)^1</f>
        <v>0</v>
      </c>
      <c r="Z127" s="34">
        <f>Z113*הנחות!B36*(1+הנחות!B55)^2</f>
        <v>0</v>
      </c>
      <c r="AA127" s="34">
        <f>AA113*הנחות!B36*(1+הנחות!B55)^2</f>
        <v>0</v>
      </c>
      <c r="AB127" s="34">
        <f>AB113*הנחות!B36*(1+הנחות!B55)^2</f>
        <v>0</v>
      </c>
      <c r="AC127" s="34">
        <f>AC113*הנחות!B36*(1+הנחות!B55)^2</f>
        <v>0</v>
      </c>
      <c r="AD127" s="34">
        <f>AD113*הנחות!B36*(1+הנחות!B55)^2</f>
        <v>0</v>
      </c>
      <c r="AE127" s="34">
        <f>AE113*הנחות!B36*(1+הנחות!B55)^2</f>
        <v>0</v>
      </c>
      <c r="AF127" s="34">
        <f>AF113*הנחות!B36*(1+הנחות!B55)^2</f>
        <v>0</v>
      </c>
      <c r="AG127" s="34">
        <f>AG113*הנחות!B36*(1+הנחות!B55)^2</f>
        <v>0</v>
      </c>
      <c r="AH127" s="34">
        <f>AH113*הנחות!B36*(1+הנחות!B55)^2</f>
        <v>0</v>
      </c>
      <c r="AI127" s="34">
        <f>AI113*הנחות!B36*(1+הנחות!B55)^2</f>
        <v>0</v>
      </c>
      <c r="AJ127" s="34">
        <f>AJ113*הנחות!B36*(1+הנחות!B55)^2</f>
        <v>42025</v>
      </c>
      <c r="AK127" s="34">
        <f>AK113*הנחות!B36*(1+הנחות!B55)^2</f>
        <v>42025</v>
      </c>
      <c r="AL127" s="34">
        <f>AL113*הנחות!B36*(1+הנחות!B55)^3</f>
        <v>43075.624999999993</v>
      </c>
      <c r="AM127" s="34">
        <f>AM113*הנחות!B36*(1+הנחות!B55)^3</f>
        <v>43075.624999999993</v>
      </c>
      <c r="AN127" s="34">
        <f>AN113*הנחות!B36*(1+הנחות!B55)^3</f>
        <v>43075.624999999993</v>
      </c>
      <c r="AO127" s="34">
        <f>AO113*הנחות!B36*(1+הנחות!B55)^3</f>
        <v>43075.624999999993</v>
      </c>
      <c r="AP127" s="34">
        <f>AP113*הנחות!B36*(1+הנחות!B55)^3</f>
        <v>43075.624999999993</v>
      </c>
      <c r="AQ127" s="34">
        <f>AQ113*הנחות!B36*(1+הנחות!B55)^3</f>
        <v>43075.624999999993</v>
      </c>
      <c r="AR127" s="34">
        <f>AR113*הנחות!B36*(1+הנחות!B55)^3</f>
        <v>43075.624999999993</v>
      </c>
      <c r="AS127" s="34">
        <f>AS113*הנחות!B36*(1+הנחות!B55)^3</f>
        <v>43075.624999999993</v>
      </c>
      <c r="AT127" s="34">
        <f>AT113*הנחות!B36*(1+הנחות!B55)^3</f>
        <v>43075.624999999993</v>
      </c>
      <c r="AU127" s="34">
        <f>AU113*הנחות!B36*(1+הנחות!B55)^3</f>
        <v>43075.624999999993</v>
      </c>
      <c r="AV127" s="34">
        <f>AV113*הנחות!B36*(1+הנחות!B55)^3</f>
        <v>43075.624999999993</v>
      </c>
      <c r="AW127" s="34">
        <f>AW113*הנחות!B36*(1+הנחות!B55)^3</f>
        <v>43075.624999999993</v>
      </c>
      <c r="AX127" s="34">
        <f>AX113*הנחות!B36*(1+הנחות!B55)^4</f>
        <v>44152.515624999993</v>
      </c>
      <c r="AY127" s="34">
        <f>AY113*הנחות!B36*(1+הנחות!B55)^4</f>
        <v>44152.515624999993</v>
      </c>
      <c r="AZ127" s="34">
        <f>AZ113*הנחות!B36*(1+הנחות!B55)^4</f>
        <v>44152.515624999993</v>
      </c>
      <c r="BA127" s="34">
        <f>BA113*הנחות!B36*(1+הנחות!B55)^4</f>
        <v>44152.515624999993</v>
      </c>
      <c r="BB127" s="34">
        <f>BB113*הנחות!B36*(1+הנחות!B55)^4</f>
        <v>44152.515624999993</v>
      </c>
      <c r="BC127" s="34">
        <f>BC113*הנחות!B36*(1+הנחות!B55)^4</f>
        <v>44152.515624999993</v>
      </c>
      <c r="BD127" s="34">
        <f>BD113*הנחות!B36*(1+הנחות!B55)^4</f>
        <v>44152.515624999993</v>
      </c>
      <c r="BE127" s="34">
        <f>BE113*הנחות!B36*(1+הנחות!B55)^4</f>
        <v>44152.515624999993</v>
      </c>
      <c r="BF127" s="34">
        <f>BF113*הנחות!B36*(1+הנחות!B55)^4</f>
        <v>44152.515624999993</v>
      </c>
      <c r="BG127" s="34">
        <f>BG113*הנחות!B36*(1+הנחות!B55)^4</f>
        <v>44152.515624999993</v>
      </c>
      <c r="BH127" s="34">
        <f>BH113*הנחות!B36*(1+הנחות!B55)^4</f>
        <v>44152.515624999993</v>
      </c>
      <c r="BI127" s="34">
        <f>BI113*הנחות!B36*(1+הנחות!B55)^4</f>
        <v>44152.515624999993</v>
      </c>
    </row>
    <row r="128" spans="1:61" x14ac:dyDescent="0.25">
      <c r="A128" s="31" t="s">
        <v>257</v>
      </c>
      <c r="B128" s="34">
        <f>B114*הנחות!B37*(1+הנחות!B55)^0</f>
        <v>0</v>
      </c>
      <c r="C128" s="34">
        <f>C114*הנחות!B37*(1+הנחות!B55)^0</f>
        <v>0</v>
      </c>
      <c r="D128" s="34">
        <f>D114*הנחות!B37*(1+הנחות!B55)^0</f>
        <v>0</v>
      </c>
      <c r="E128" s="34">
        <f>E114*הנחות!B37*(1+הנחות!B55)^0</f>
        <v>0</v>
      </c>
      <c r="F128" s="34">
        <f>F114*הנחות!B37*(1+הנחות!B55)^0</f>
        <v>0</v>
      </c>
      <c r="G128" s="34">
        <f>G114*הנחות!B37*(1+הנחות!B55)^0</f>
        <v>0</v>
      </c>
      <c r="H128" s="34">
        <f>H114*הנחות!B37*(1+הנחות!B55)^0</f>
        <v>0</v>
      </c>
      <c r="I128" s="34">
        <f>I114*הנחות!B37*(1+הנחות!B55)^0</f>
        <v>0</v>
      </c>
      <c r="J128" s="34">
        <f>J114*הנחות!B37*(1+הנחות!B55)^0</f>
        <v>0</v>
      </c>
      <c r="K128" s="34">
        <f>K114*הנחות!B37*(1+הנחות!B55)^0</f>
        <v>0</v>
      </c>
      <c r="L128" s="34">
        <f>L114*הנחות!B37*(1+הנחות!B55)^0</f>
        <v>0</v>
      </c>
      <c r="M128" s="34">
        <f>M114*הנחות!B37*(1+הנחות!B55)^0</f>
        <v>0</v>
      </c>
      <c r="N128" s="34">
        <f>N114*הנחות!B37*(1+הנחות!B55)^1</f>
        <v>0</v>
      </c>
      <c r="O128" s="34">
        <f>O114*הנחות!B37*(1+הנחות!B55)^1</f>
        <v>0</v>
      </c>
      <c r="P128" s="34">
        <f>P114*הנחות!B37*(1+הנחות!B55)^1</f>
        <v>0</v>
      </c>
      <c r="Q128" s="34">
        <f>Q114*הנחות!B37*(1+הנחות!B55)^1</f>
        <v>0</v>
      </c>
      <c r="R128" s="34">
        <f>R114*הנחות!B37*(1+הנחות!B55)^1</f>
        <v>0</v>
      </c>
      <c r="S128" s="34">
        <f>S114*הנחות!B37*(1+הנחות!B55)^1</f>
        <v>0</v>
      </c>
      <c r="T128" s="34">
        <f>T114*הנחות!B37*(1+הנחות!B55)^1</f>
        <v>0</v>
      </c>
      <c r="U128" s="34">
        <f>U114*הנחות!B37*(1+הנחות!B55)^1</f>
        <v>0</v>
      </c>
      <c r="V128" s="34">
        <f>V114*הנחות!B37*(1+הנחות!B55)^1</f>
        <v>0</v>
      </c>
      <c r="W128" s="34">
        <f>W114*הנחות!B37*(1+הנחות!B55)^1</f>
        <v>0</v>
      </c>
      <c r="X128" s="34">
        <f>X114*הנחות!B37*(1+הנחות!B55)^1</f>
        <v>0</v>
      </c>
      <c r="Y128" s="34">
        <f>Y114*הנחות!B37*(1+הנחות!B55)^1</f>
        <v>0</v>
      </c>
      <c r="Z128" s="34">
        <f>Z114*הנחות!B37*(1+הנחות!B55)^2</f>
        <v>0</v>
      </c>
      <c r="AA128" s="34">
        <f>AA114*הנחות!B37*(1+הנחות!B55)^2</f>
        <v>0</v>
      </c>
      <c r="AB128" s="34">
        <f>AB114*הנחות!B37*(1+הנחות!B55)^2</f>
        <v>0</v>
      </c>
      <c r="AC128" s="34">
        <f>AC114*הנחות!B37*(1+הנחות!B55)^2</f>
        <v>0</v>
      </c>
      <c r="AD128" s="34">
        <f>AD114*הנחות!B37*(1+הנחות!B55)^2</f>
        <v>0</v>
      </c>
      <c r="AE128" s="34">
        <f>AE114*הנחות!B37*(1+הנחות!B55)^2</f>
        <v>0</v>
      </c>
      <c r="AF128" s="34">
        <f>AF114*הנחות!B37*(1+הנחות!B55)^2</f>
        <v>21012.5</v>
      </c>
      <c r="AG128" s="34">
        <f>AG114*הנחות!B37*(1+הנחות!B55)^2</f>
        <v>21012.5</v>
      </c>
      <c r="AH128" s="34">
        <f>AH114*הנחות!B37*(1+הנחות!B55)^2</f>
        <v>21012.5</v>
      </c>
      <c r="AI128" s="34">
        <f>AI114*הנחות!B37*(1+הנחות!B55)^2</f>
        <v>21012.5</v>
      </c>
      <c r="AJ128" s="34">
        <f>AJ114*הנחות!B37*(1+הנחות!B55)^2</f>
        <v>21012.5</v>
      </c>
      <c r="AK128" s="34">
        <f>AK114*הנחות!B37*(1+הנחות!B55)^2</f>
        <v>21012.5</v>
      </c>
      <c r="AL128" s="34">
        <f>AL114*הנחות!B37*(1+הנחות!B55)^3</f>
        <v>21537.812499999996</v>
      </c>
      <c r="AM128" s="34">
        <f>AM114*הנחות!B37*(1+הנחות!B55)^3</f>
        <v>21537.812499999996</v>
      </c>
      <c r="AN128" s="34">
        <f>AN114*הנחות!B37*(1+הנחות!B55)^3</f>
        <v>21537.812499999996</v>
      </c>
      <c r="AO128" s="34">
        <f>AO114*הנחות!B37*(1+הנחות!B55)^3</f>
        <v>21537.812499999996</v>
      </c>
      <c r="AP128" s="34">
        <f>AP114*הנחות!B37*(1+הנחות!B55)^3</f>
        <v>21537.812499999996</v>
      </c>
      <c r="AQ128" s="34">
        <f>AQ114*הנחות!B37*(1+הנחות!B55)^3</f>
        <v>21537.812499999996</v>
      </c>
      <c r="AR128" s="34">
        <f>AR114*הנחות!B37*(1+הנחות!B55)^3</f>
        <v>21537.812499999996</v>
      </c>
      <c r="AS128" s="34">
        <f>AS114*הנחות!B37*(1+הנחות!B55)^3</f>
        <v>21537.812499999996</v>
      </c>
      <c r="AT128" s="34">
        <f>AT114*הנחות!B37*(1+הנחות!B55)^3</f>
        <v>21537.812499999996</v>
      </c>
      <c r="AU128" s="34">
        <f>AU114*הנחות!B37*(1+הנחות!B55)^3</f>
        <v>21537.812499999996</v>
      </c>
      <c r="AV128" s="34">
        <f>AV114*הנחות!B37*(1+הנחות!B55)^3</f>
        <v>21537.812499999996</v>
      </c>
      <c r="AW128" s="34">
        <f>AW114*הנחות!B37*(1+הנחות!B55)^3</f>
        <v>21537.812499999996</v>
      </c>
      <c r="AX128" s="34">
        <f>AX114*הנחות!B37*(1+הנחות!B55)^4</f>
        <v>22076.257812499996</v>
      </c>
      <c r="AY128" s="34">
        <f>AY114*הנחות!B37*(1+הנחות!B55)^4</f>
        <v>22076.257812499996</v>
      </c>
      <c r="AZ128" s="34">
        <f>AZ114*הנחות!B37*(1+הנחות!B55)^4</f>
        <v>22076.257812499996</v>
      </c>
      <c r="BA128" s="34">
        <f>BA114*הנחות!B37*(1+הנחות!B55)^4</f>
        <v>22076.257812499996</v>
      </c>
      <c r="BB128" s="34">
        <f>BB114*הנחות!B37*(1+הנחות!B55)^4</f>
        <v>22076.257812499996</v>
      </c>
      <c r="BC128" s="34">
        <f>BC114*הנחות!B37*(1+הנחות!B55)^4</f>
        <v>22076.257812499996</v>
      </c>
      <c r="BD128" s="34">
        <f>BD114*הנחות!B37*(1+הנחות!B55)^4</f>
        <v>22076.257812499996</v>
      </c>
      <c r="BE128" s="34">
        <f>BE114*הנחות!B37*(1+הנחות!B55)^4</f>
        <v>22076.257812499996</v>
      </c>
      <c r="BF128" s="34">
        <f>BF114*הנחות!B37*(1+הנחות!B55)^4</f>
        <v>22076.257812499996</v>
      </c>
      <c r="BG128" s="34">
        <f>BG114*הנחות!B37*(1+הנחות!B55)^4</f>
        <v>22076.257812499996</v>
      </c>
      <c r="BH128" s="34">
        <f>BH114*הנחות!B37*(1+הנחות!B55)^4</f>
        <v>22076.257812499996</v>
      </c>
      <c r="BI128" s="34">
        <f>BI114*הנחות!B37*(1+הנחות!B55)^4</f>
        <v>22076.257812499996</v>
      </c>
    </row>
    <row r="129" spans="1:61" x14ac:dyDescent="0.25">
      <c r="A129" s="31" t="s">
        <v>258</v>
      </c>
      <c r="B129" s="34">
        <f>B115*הנחות!B38*(1+הנחות!B55)^0</f>
        <v>0</v>
      </c>
      <c r="C129" s="34">
        <f>C115*הנחות!B38*(1+הנחות!B55)^0</f>
        <v>0</v>
      </c>
      <c r="D129" s="34">
        <f>D115*הנחות!B38*(1+הנחות!B55)^0</f>
        <v>0</v>
      </c>
      <c r="E129" s="34">
        <f>E115*הנחות!B38*(1+הנחות!B55)^0</f>
        <v>0</v>
      </c>
      <c r="F129" s="34">
        <f>F115*הנחות!B38*(1+הנחות!B55)^0</f>
        <v>0</v>
      </c>
      <c r="G129" s="34">
        <f>G115*הנחות!B38*(1+הנחות!B55)^0</f>
        <v>0</v>
      </c>
      <c r="H129" s="34">
        <f>H115*הנחות!B38*(1+הנחות!B55)^0</f>
        <v>0</v>
      </c>
      <c r="I129" s="34">
        <f>I115*הנחות!B38*(1+הנחות!B55)^0</f>
        <v>0</v>
      </c>
      <c r="J129" s="34">
        <f>J115*הנחות!B38*(1+הנחות!B55)^0</f>
        <v>0</v>
      </c>
      <c r="K129" s="34">
        <f>K115*הנחות!B38*(1+הנחות!B55)^0</f>
        <v>0</v>
      </c>
      <c r="L129" s="34">
        <f>L115*הנחות!B38*(1+הנחות!B55)^0</f>
        <v>0</v>
      </c>
      <c r="M129" s="34">
        <f>M115*הנחות!B38*(1+הנחות!B55)^0</f>
        <v>0</v>
      </c>
      <c r="N129" s="34">
        <f>N115*הנחות!B38*(1+הנחות!B55)^1</f>
        <v>0</v>
      </c>
      <c r="O129" s="34">
        <f>O115*הנחות!B38*(1+הנחות!B55)^1</f>
        <v>0</v>
      </c>
      <c r="P129" s="34">
        <f>P115*הנחות!B38*(1+הנחות!B55)^1</f>
        <v>0</v>
      </c>
      <c r="Q129" s="34">
        <f>Q115*הנחות!B38*(1+הנחות!B55)^1</f>
        <v>0</v>
      </c>
      <c r="R129" s="34">
        <f>R115*הנחות!B38*(1+הנחות!B55)^1</f>
        <v>0</v>
      </c>
      <c r="S129" s="34">
        <f>S115*הנחות!B38*(1+הנחות!B55)^1</f>
        <v>0</v>
      </c>
      <c r="T129" s="34">
        <f>T115*הנחות!B38*(1+הנחות!B55)^1</f>
        <v>0</v>
      </c>
      <c r="U129" s="34">
        <f>U115*הנחות!B38*(1+הנחות!B55)^1</f>
        <v>0</v>
      </c>
      <c r="V129" s="34">
        <f>V115*הנחות!B38*(1+הנחות!B55)^1</f>
        <v>0</v>
      </c>
      <c r="W129" s="34">
        <f>W115*הנחות!B38*(1+הנחות!B55)^1</f>
        <v>0</v>
      </c>
      <c r="X129" s="34">
        <f>X115*הנחות!B38*(1+הנחות!B55)^1</f>
        <v>0</v>
      </c>
      <c r="Y129" s="34">
        <f>Y115*הנחות!B38*(1+הנחות!B55)^1</f>
        <v>0</v>
      </c>
      <c r="Z129" s="34">
        <f>Z115*הנחות!B38*(1+הנחות!B55)^2</f>
        <v>0</v>
      </c>
      <c r="AA129" s="34">
        <f>AA115*הנחות!B38*(1+הנחות!B55)^2</f>
        <v>0</v>
      </c>
      <c r="AB129" s="34">
        <f>AB115*הנחות!B38*(1+הנחות!B55)^2</f>
        <v>0</v>
      </c>
      <c r="AC129" s="34">
        <f>AC115*הנחות!B38*(1+הנחות!B55)^2</f>
        <v>0</v>
      </c>
      <c r="AD129" s="34">
        <f>AD115*הנחות!B38*(1+הנחות!B55)^2</f>
        <v>0</v>
      </c>
      <c r="AE129" s="34">
        <f>AE115*הנחות!B38*(1+הנחות!B55)^2</f>
        <v>0</v>
      </c>
      <c r="AF129" s="34">
        <f>AF115*הנחות!B38*(1+הנחות!B55)^2</f>
        <v>0</v>
      </c>
      <c r="AG129" s="34">
        <f>AG115*הנחות!B38*(1+הנחות!B55)^2</f>
        <v>0</v>
      </c>
      <c r="AH129" s="34">
        <f>AH115*הנחות!B38*(1+הנחות!B55)^2</f>
        <v>0</v>
      </c>
      <c r="AI129" s="34">
        <f>AI115*הנחות!B38*(1+הנחות!B55)^2</f>
        <v>0</v>
      </c>
      <c r="AJ129" s="34">
        <f>AJ115*הנחות!B38*(1+הנחות!B55)^2</f>
        <v>36771.875</v>
      </c>
      <c r="AK129" s="34">
        <f>AK115*הנחות!B38*(1+הנחות!B55)^2</f>
        <v>36771.875</v>
      </c>
      <c r="AL129" s="34">
        <f>AL115*הנחות!B38*(1+הנחות!B55)^3</f>
        <v>37691.171874999993</v>
      </c>
      <c r="AM129" s="34">
        <f>AM115*הנחות!B38*(1+הנחות!B55)^3</f>
        <v>37691.171874999993</v>
      </c>
      <c r="AN129" s="34">
        <f>AN115*הנחות!B38*(1+הנחות!B55)^3</f>
        <v>37691.171874999993</v>
      </c>
      <c r="AO129" s="34">
        <f>AO115*הנחות!B38*(1+הנחות!B55)^3</f>
        <v>37691.171874999993</v>
      </c>
      <c r="AP129" s="34">
        <f>AP115*הנחות!B38*(1+הנחות!B55)^3</f>
        <v>37691.171874999993</v>
      </c>
      <c r="AQ129" s="34">
        <f>AQ115*הנחות!B38*(1+הנחות!B55)^3</f>
        <v>37691.171874999993</v>
      </c>
      <c r="AR129" s="34">
        <f>AR115*הנחות!B38*(1+הנחות!B55)^3</f>
        <v>37691.171874999993</v>
      </c>
      <c r="AS129" s="34">
        <f>AS115*הנחות!B38*(1+הנחות!B55)^3</f>
        <v>37691.171874999993</v>
      </c>
      <c r="AT129" s="34">
        <f>AT115*הנחות!B38*(1+הנחות!B55)^3</f>
        <v>37691.171874999993</v>
      </c>
      <c r="AU129" s="34">
        <f>AU115*הנחות!B38*(1+הנחות!B55)^3</f>
        <v>37691.171874999993</v>
      </c>
      <c r="AV129" s="34">
        <f>AV115*הנחות!B38*(1+הנחות!B55)^3</f>
        <v>37691.171874999993</v>
      </c>
      <c r="AW129" s="34">
        <f>AW115*הנחות!B38*(1+הנחות!B55)^3</f>
        <v>37691.171874999993</v>
      </c>
      <c r="AX129" s="34">
        <f>AX115*הנחות!B38*(1+הנחות!B55)^4</f>
        <v>38633.451171874993</v>
      </c>
      <c r="AY129" s="34">
        <f>AY115*הנחות!B38*(1+הנחות!B55)^4</f>
        <v>38633.451171874993</v>
      </c>
      <c r="AZ129" s="34">
        <f>AZ115*הנחות!B38*(1+הנחות!B55)^4</f>
        <v>38633.451171874993</v>
      </c>
      <c r="BA129" s="34">
        <f>BA115*הנחות!B38*(1+הנחות!B55)^4</f>
        <v>38633.451171874993</v>
      </c>
      <c r="BB129" s="34">
        <f>BB115*הנחות!B38*(1+הנחות!B55)^4</f>
        <v>38633.451171874993</v>
      </c>
      <c r="BC129" s="34">
        <f>BC115*הנחות!B38*(1+הנחות!B55)^4</f>
        <v>38633.451171874993</v>
      </c>
      <c r="BD129" s="34">
        <f>BD115*הנחות!B38*(1+הנחות!B55)^4</f>
        <v>38633.451171874993</v>
      </c>
      <c r="BE129" s="34">
        <f>BE115*הנחות!B38*(1+הנחות!B55)^4</f>
        <v>38633.451171874993</v>
      </c>
      <c r="BF129" s="34">
        <f>BF115*הנחות!B38*(1+הנחות!B55)^4</f>
        <v>38633.451171874993</v>
      </c>
      <c r="BG129" s="34">
        <f>BG115*הנחות!B38*(1+הנחות!B55)^4</f>
        <v>38633.451171874993</v>
      </c>
      <c r="BH129" s="34">
        <f>BH115*הנחות!B38*(1+הנחות!B55)^4</f>
        <v>38633.451171874993</v>
      </c>
      <c r="BI129" s="34">
        <f>BI115*הנחות!B38*(1+הנחות!B55)^4</f>
        <v>38633.451171874993</v>
      </c>
    </row>
    <row r="131" spans="1:61" x14ac:dyDescent="0.25">
      <c r="A131" s="68" t="s">
        <v>259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</row>
    <row r="132" spans="1:61" x14ac:dyDescent="0.25">
      <c r="A132" s="31" t="s">
        <v>260</v>
      </c>
      <c r="B132" s="34">
        <f>IF(1&gt;=הנחות!D41,הנחות!B41*(1+הנחות!C41)^0,0)</f>
        <v>0</v>
      </c>
      <c r="C132" s="34">
        <f>IF(2&gt;=הנחות!D41,הנחות!B41*(1+הנחות!C41)^0,0)</f>
        <v>0</v>
      </c>
      <c r="D132" s="34">
        <f>IF(3&gt;=הנחות!D41,הנחות!B41*(1+הנחות!C41)^0,0)</f>
        <v>0</v>
      </c>
      <c r="E132" s="34">
        <f>IF(4&gt;=הנחות!D41,הנחות!B41*(1+הנחות!C41)^0,0)</f>
        <v>0</v>
      </c>
      <c r="F132" s="34">
        <f>IF(5&gt;=הנחות!D41,הנחות!B41*(1+הנחות!C41)^0,0)</f>
        <v>0</v>
      </c>
      <c r="G132" s="34">
        <f>IF(6&gt;=הנחות!D41,הנחות!B41*(1+הנחות!C41)^0,0)</f>
        <v>0</v>
      </c>
      <c r="H132" s="34">
        <f>IF(7&gt;=הנחות!D41,הנחות!B41*(1+הנחות!C41)^0,0)</f>
        <v>0</v>
      </c>
      <c r="I132" s="34">
        <f>IF(8&gt;=הנחות!D41,הנחות!B41*(1+הנחות!C41)^0,0)</f>
        <v>0</v>
      </c>
      <c r="J132" s="34">
        <f>IF(9&gt;=הנחות!D41,הנחות!B41*(1+הנחות!C41)^0,0)</f>
        <v>0</v>
      </c>
      <c r="K132" s="34">
        <f>IF(10&gt;=הנחות!D41,הנחות!B41*(1+הנחות!C41)^0,0)</f>
        <v>6000</v>
      </c>
      <c r="L132" s="34">
        <f>IF(11&gt;=הנחות!D41,הנחות!B41*(1+הנחות!C41)^0,0)</f>
        <v>6000</v>
      </c>
      <c r="M132" s="34">
        <f>IF(12&gt;=הנחות!D41,הנחות!B41*(1+הנחות!C41)^0,0)</f>
        <v>6000</v>
      </c>
      <c r="N132" s="34">
        <f>IF(13&gt;=הנחות!D41,הנחות!B41*(1+הנחות!C41)^1,0)</f>
        <v>7200</v>
      </c>
      <c r="O132" s="34">
        <f>IF(14&gt;=הנחות!D41,הנחות!B41*(1+הנחות!C41)^1,0)</f>
        <v>7200</v>
      </c>
      <c r="P132" s="34">
        <f>IF(15&gt;=הנחות!D41,הנחות!B41*(1+הנחות!C41)^1,0)</f>
        <v>7200</v>
      </c>
      <c r="Q132" s="34">
        <f>IF(16&gt;=הנחות!D41,הנחות!B41*(1+הנחות!C41)^1,0)</f>
        <v>7200</v>
      </c>
      <c r="R132" s="34">
        <f>IF(17&gt;=הנחות!D41,הנחות!B41*(1+הנחות!C41)^1,0)</f>
        <v>7200</v>
      </c>
      <c r="S132" s="34">
        <f>IF(18&gt;=הנחות!D41,הנחות!B41*(1+הנחות!C41)^1,0)</f>
        <v>7200</v>
      </c>
      <c r="T132" s="34">
        <f>IF(19&gt;=הנחות!D41,הנחות!B41*(1+הנחות!C41)^1,0)</f>
        <v>7200</v>
      </c>
      <c r="U132" s="34">
        <f>IF(20&gt;=הנחות!D41,הנחות!B41*(1+הנחות!C41)^1,0)</f>
        <v>7200</v>
      </c>
      <c r="V132" s="34">
        <f>IF(21&gt;=הנחות!D41,הנחות!B41*(1+הנחות!C41)^1,0)</f>
        <v>7200</v>
      </c>
      <c r="W132" s="34">
        <f>IF(22&gt;=הנחות!D41,הנחות!B41*(1+הנחות!C41)^1,0)</f>
        <v>7200</v>
      </c>
      <c r="X132" s="34">
        <f>IF(23&gt;=הנחות!D41,הנחות!B41*(1+הנחות!C41)^1,0)</f>
        <v>7200</v>
      </c>
      <c r="Y132" s="34">
        <f>IF(24&gt;=הנחות!D41,הנחות!B41*(1+הנחות!C41)^1,0)</f>
        <v>7200</v>
      </c>
      <c r="Z132" s="34">
        <f>IF(25&gt;=הנחות!D41,הנחות!B41*(1+הנחות!C41)^2,0)</f>
        <v>8640</v>
      </c>
      <c r="AA132" s="34">
        <f>IF(26&gt;=הנחות!D41,הנחות!B41*(1+הנחות!C41)^2,0)</f>
        <v>8640</v>
      </c>
      <c r="AB132" s="34">
        <f>IF(27&gt;=הנחות!D41,הנחות!B41*(1+הנחות!C41)^2,0)</f>
        <v>8640</v>
      </c>
      <c r="AC132" s="34">
        <f>IF(28&gt;=הנחות!D41,הנחות!B41*(1+הנחות!C41)^2,0)</f>
        <v>8640</v>
      </c>
      <c r="AD132" s="34">
        <f>IF(29&gt;=הנחות!D41,הנחות!B41*(1+הנחות!C41)^2,0)</f>
        <v>8640</v>
      </c>
      <c r="AE132" s="34">
        <f>IF(30&gt;=הנחות!D41,הנחות!B41*(1+הנחות!C41)^2,0)</f>
        <v>8640</v>
      </c>
      <c r="AF132" s="34">
        <f>IF(31&gt;=הנחות!D41,הנחות!B41*(1+הנחות!C41)^2,0)</f>
        <v>8640</v>
      </c>
      <c r="AG132" s="34">
        <f>IF(32&gt;=הנחות!D41,הנחות!B41*(1+הנחות!C41)^2,0)</f>
        <v>8640</v>
      </c>
      <c r="AH132" s="34">
        <f>IF(33&gt;=הנחות!D41,הנחות!B41*(1+הנחות!C41)^2,0)</f>
        <v>8640</v>
      </c>
      <c r="AI132" s="34">
        <f>IF(34&gt;=הנחות!D41,הנחות!B41*(1+הנחות!C41)^2,0)</f>
        <v>8640</v>
      </c>
      <c r="AJ132" s="34">
        <f>IF(35&gt;=הנחות!D41,הנחות!B41*(1+הנחות!C41)^2,0)</f>
        <v>8640</v>
      </c>
      <c r="AK132" s="34">
        <f>IF(36&gt;=הנחות!D41,הנחות!B41*(1+הנחות!C41)^2,0)</f>
        <v>8640</v>
      </c>
      <c r="AL132" s="34">
        <f>IF(37&gt;=הנחות!D41,הנחות!B41*(1+הנחות!C41)^3,0)</f>
        <v>10368</v>
      </c>
      <c r="AM132" s="34">
        <f>IF(38&gt;=הנחות!D41,הנחות!B41*(1+הנחות!C41)^3,0)</f>
        <v>10368</v>
      </c>
      <c r="AN132" s="34">
        <f>IF(39&gt;=הנחות!D41,הנחות!B41*(1+הנחות!C41)^3,0)</f>
        <v>10368</v>
      </c>
      <c r="AO132" s="34">
        <f>IF(40&gt;=הנחות!D41,הנחות!B41*(1+הנחות!C41)^3,0)</f>
        <v>10368</v>
      </c>
      <c r="AP132" s="34">
        <f>IF(41&gt;=הנחות!D41,הנחות!B41*(1+הנחות!C41)^3,0)</f>
        <v>10368</v>
      </c>
      <c r="AQ132" s="34">
        <f>IF(42&gt;=הנחות!D41,הנחות!B41*(1+הנחות!C41)^3,0)</f>
        <v>10368</v>
      </c>
      <c r="AR132" s="34">
        <f>IF(43&gt;=הנחות!D41,הנחות!B41*(1+הנחות!C41)^3,0)</f>
        <v>10368</v>
      </c>
      <c r="AS132" s="34">
        <f>IF(44&gt;=הנחות!D41,הנחות!B41*(1+הנחות!C41)^3,0)</f>
        <v>10368</v>
      </c>
      <c r="AT132" s="34">
        <f>IF(45&gt;=הנחות!D41,הנחות!B41*(1+הנחות!C41)^3,0)</f>
        <v>10368</v>
      </c>
      <c r="AU132" s="34">
        <f>IF(46&gt;=הנחות!D41,הנחות!B41*(1+הנחות!C41)^3,0)</f>
        <v>10368</v>
      </c>
      <c r="AV132" s="34">
        <f>IF(47&gt;=הנחות!D41,הנחות!B41*(1+הנחות!C41)^3,0)</f>
        <v>10368</v>
      </c>
      <c r="AW132" s="34">
        <f>IF(48&gt;=הנחות!D41,הנחות!B41*(1+הנחות!C41)^3,0)</f>
        <v>10368</v>
      </c>
      <c r="AX132" s="34">
        <f>IF(49&gt;=הנחות!D41,הנחות!B41*(1+הנחות!C41)^4,0)</f>
        <v>12441.599999999999</v>
      </c>
      <c r="AY132" s="34">
        <f>IF(50&gt;=הנחות!D41,הנחות!B41*(1+הנחות!C41)^4,0)</f>
        <v>12441.599999999999</v>
      </c>
      <c r="AZ132" s="34">
        <f>IF(51&gt;=הנחות!D41,הנחות!B41*(1+הנחות!C41)^4,0)</f>
        <v>12441.599999999999</v>
      </c>
      <c r="BA132" s="34">
        <f>IF(52&gt;=הנחות!D41,הנחות!B41*(1+הנחות!C41)^4,0)</f>
        <v>12441.599999999999</v>
      </c>
      <c r="BB132" s="34">
        <f>IF(53&gt;=הנחות!D41,הנחות!B41*(1+הנחות!C41)^4,0)</f>
        <v>12441.599999999999</v>
      </c>
      <c r="BC132" s="34">
        <f>IF(54&gt;=הנחות!D41,הנחות!B41*(1+הנחות!C41)^4,0)</f>
        <v>12441.599999999999</v>
      </c>
      <c r="BD132" s="34">
        <f>IF(55&gt;=הנחות!D41,הנחות!B41*(1+הנחות!C41)^4,0)</f>
        <v>12441.599999999999</v>
      </c>
      <c r="BE132" s="34">
        <f>IF(56&gt;=הנחות!D41,הנחות!B41*(1+הנחות!C41)^4,0)</f>
        <v>12441.599999999999</v>
      </c>
      <c r="BF132" s="34">
        <f>IF(57&gt;=הנחות!D41,הנחות!B41*(1+הנחות!C41)^4,0)</f>
        <v>12441.599999999999</v>
      </c>
      <c r="BG132" s="34">
        <f>IF(58&gt;=הנחות!D41,הנחות!B41*(1+הנחות!C41)^4,0)</f>
        <v>12441.599999999999</v>
      </c>
      <c r="BH132" s="34">
        <f>IF(59&gt;=הנחות!D41,הנחות!B41*(1+הנחות!C41)^4,0)</f>
        <v>12441.599999999999</v>
      </c>
      <c r="BI132" s="34">
        <f>IF(60&gt;=הנחות!D41,הנחות!B41*(1+הנחות!C41)^4,0)</f>
        <v>12441.599999999999</v>
      </c>
    </row>
    <row r="133" spans="1:61" x14ac:dyDescent="0.25">
      <c r="A133" s="31" t="s">
        <v>261</v>
      </c>
      <c r="B133" s="34">
        <f>IF(1&gt;=הנחות!D42,הנחות!B42*(1+הנחות!C42)^0,0)</f>
        <v>8000</v>
      </c>
      <c r="C133" s="34">
        <f>IF(2&gt;=הנחות!D42,הנחות!B42*(1+הנחות!C42)^0,0)</f>
        <v>8000</v>
      </c>
      <c r="D133" s="34">
        <f>IF(3&gt;=הנחות!D42,הנחות!B42*(1+הנחות!C42)^0,0)</f>
        <v>8000</v>
      </c>
      <c r="E133" s="34">
        <f>IF(4&gt;=הנחות!D42,הנחות!B42*(1+הנחות!C42)^0,0)</f>
        <v>8000</v>
      </c>
      <c r="F133" s="34">
        <f>IF(5&gt;=הנחות!D42,הנחות!B42*(1+הנחות!C42)^0,0)</f>
        <v>8000</v>
      </c>
      <c r="G133" s="34">
        <f>IF(6&gt;=הנחות!D42,הנחות!B42*(1+הנחות!C42)^0,0)</f>
        <v>8000</v>
      </c>
      <c r="H133" s="34">
        <f>IF(7&gt;=הנחות!D42,הנחות!B42*(1+הנחות!C42)^0,0)</f>
        <v>8000</v>
      </c>
      <c r="I133" s="34">
        <f>IF(8&gt;=הנחות!D42,הנחות!B42*(1+הנחות!C42)^0,0)</f>
        <v>8000</v>
      </c>
      <c r="J133" s="34">
        <f>IF(9&gt;=הנחות!D42,הנחות!B42*(1+הנחות!C42)^0,0)</f>
        <v>8000</v>
      </c>
      <c r="K133" s="34">
        <f>IF(10&gt;=הנחות!D42,הנחות!B42*(1+הנחות!C42)^0,0)</f>
        <v>8000</v>
      </c>
      <c r="L133" s="34">
        <f>IF(11&gt;=הנחות!D42,הנחות!B42*(1+הנחות!C42)^0,0)</f>
        <v>8000</v>
      </c>
      <c r="M133" s="34">
        <f>IF(12&gt;=הנחות!D42,הנחות!B42*(1+הנחות!C42)^0,0)</f>
        <v>8000</v>
      </c>
      <c r="N133" s="34">
        <f>IF(13&gt;=הנחות!D42,הנחות!B42*(1+הנחות!C42)^1,0)</f>
        <v>9600</v>
      </c>
      <c r="O133" s="34">
        <f>IF(14&gt;=הנחות!D42,הנחות!B42*(1+הנחות!C42)^1,0)</f>
        <v>9600</v>
      </c>
      <c r="P133" s="34">
        <f>IF(15&gt;=הנחות!D42,הנחות!B42*(1+הנחות!C42)^1,0)</f>
        <v>9600</v>
      </c>
      <c r="Q133" s="34">
        <f>IF(16&gt;=הנחות!D42,הנחות!B42*(1+הנחות!C42)^1,0)</f>
        <v>9600</v>
      </c>
      <c r="R133" s="34">
        <f>IF(17&gt;=הנחות!D42,הנחות!B42*(1+הנחות!C42)^1,0)</f>
        <v>9600</v>
      </c>
      <c r="S133" s="34">
        <f>IF(18&gt;=הנחות!D42,הנחות!B42*(1+הנחות!C42)^1,0)</f>
        <v>9600</v>
      </c>
      <c r="T133" s="34">
        <f>IF(19&gt;=הנחות!D42,הנחות!B42*(1+הנחות!C42)^1,0)</f>
        <v>9600</v>
      </c>
      <c r="U133" s="34">
        <f>IF(20&gt;=הנחות!D42,הנחות!B42*(1+הנחות!C42)^1,0)</f>
        <v>9600</v>
      </c>
      <c r="V133" s="34">
        <f>IF(21&gt;=הנחות!D42,הנחות!B42*(1+הנחות!C42)^1,0)</f>
        <v>9600</v>
      </c>
      <c r="W133" s="34">
        <f>IF(22&gt;=הנחות!D42,הנחות!B42*(1+הנחות!C42)^1,0)</f>
        <v>9600</v>
      </c>
      <c r="X133" s="34">
        <f>IF(23&gt;=הנחות!D42,הנחות!B42*(1+הנחות!C42)^1,0)</f>
        <v>9600</v>
      </c>
      <c r="Y133" s="34">
        <f>IF(24&gt;=הנחות!D42,הנחות!B42*(1+הנחות!C42)^1,0)</f>
        <v>9600</v>
      </c>
      <c r="Z133" s="34">
        <f>IF(25&gt;=הנחות!D42,הנחות!B42*(1+הנחות!C42)^2,0)</f>
        <v>11520</v>
      </c>
      <c r="AA133" s="34">
        <f>IF(26&gt;=הנחות!D42,הנחות!B42*(1+הנחות!C42)^2,0)</f>
        <v>11520</v>
      </c>
      <c r="AB133" s="34">
        <f>IF(27&gt;=הנחות!D42,הנחות!B42*(1+הנחות!C42)^2,0)</f>
        <v>11520</v>
      </c>
      <c r="AC133" s="34">
        <f>IF(28&gt;=הנחות!D42,הנחות!B42*(1+הנחות!C42)^2,0)</f>
        <v>11520</v>
      </c>
      <c r="AD133" s="34">
        <f>IF(29&gt;=הנחות!D42,הנחות!B42*(1+הנחות!C42)^2,0)</f>
        <v>11520</v>
      </c>
      <c r="AE133" s="34">
        <f>IF(30&gt;=הנחות!D42,הנחות!B42*(1+הנחות!C42)^2,0)</f>
        <v>11520</v>
      </c>
      <c r="AF133" s="34">
        <f>IF(31&gt;=הנחות!D42,הנחות!B42*(1+הנחות!C42)^2,0)</f>
        <v>11520</v>
      </c>
      <c r="AG133" s="34">
        <f>IF(32&gt;=הנחות!D42,הנחות!B42*(1+הנחות!C42)^2,0)</f>
        <v>11520</v>
      </c>
      <c r="AH133" s="34">
        <f>IF(33&gt;=הנחות!D42,הנחות!B42*(1+הנחות!C42)^2,0)</f>
        <v>11520</v>
      </c>
      <c r="AI133" s="34">
        <f>IF(34&gt;=הנחות!D42,הנחות!B42*(1+הנחות!C42)^2,0)</f>
        <v>11520</v>
      </c>
      <c r="AJ133" s="34">
        <f>IF(35&gt;=הנחות!D42,הנחות!B42*(1+הנחות!C42)^2,0)</f>
        <v>11520</v>
      </c>
      <c r="AK133" s="34">
        <f>IF(36&gt;=הנחות!D42,הנחות!B42*(1+הנחות!C42)^2,0)</f>
        <v>11520</v>
      </c>
      <c r="AL133" s="34">
        <f>IF(37&gt;=הנחות!D42,הנחות!B42*(1+הנחות!C42)^3,0)</f>
        <v>13824</v>
      </c>
      <c r="AM133" s="34">
        <f>IF(38&gt;=הנחות!D42,הנחות!B42*(1+הנחות!C42)^3,0)</f>
        <v>13824</v>
      </c>
      <c r="AN133" s="34">
        <f>IF(39&gt;=הנחות!D42,הנחות!B42*(1+הנחות!C42)^3,0)</f>
        <v>13824</v>
      </c>
      <c r="AO133" s="34">
        <f>IF(40&gt;=הנחות!D42,הנחות!B42*(1+הנחות!C42)^3,0)</f>
        <v>13824</v>
      </c>
      <c r="AP133" s="34">
        <f>IF(41&gt;=הנחות!D42,הנחות!B42*(1+הנחות!C42)^3,0)</f>
        <v>13824</v>
      </c>
      <c r="AQ133" s="34">
        <f>IF(42&gt;=הנחות!D42,הנחות!B42*(1+הנחות!C42)^3,0)</f>
        <v>13824</v>
      </c>
      <c r="AR133" s="34">
        <f>IF(43&gt;=הנחות!D42,הנחות!B42*(1+הנחות!C42)^3,0)</f>
        <v>13824</v>
      </c>
      <c r="AS133" s="34">
        <f>IF(44&gt;=הנחות!D42,הנחות!B42*(1+הנחות!C42)^3,0)</f>
        <v>13824</v>
      </c>
      <c r="AT133" s="34">
        <f>IF(45&gt;=הנחות!D42,הנחות!B42*(1+הנחות!C42)^3,0)</f>
        <v>13824</v>
      </c>
      <c r="AU133" s="34">
        <f>IF(46&gt;=הנחות!D42,הנחות!B42*(1+הנחות!C42)^3,0)</f>
        <v>13824</v>
      </c>
      <c r="AV133" s="34">
        <f>IF(47&gt;=הנחות!D42,הנחות!B42*(1+הנחות!C42)^3,0)</f>
        <v>13824</v>
      </c>
      <c r="AW133" s="34">
        <f>IF(48&gt;=הנחות!D42,הנחות!B42*(1+הנחות!C42)^3,0)</f>
        <v>13824</v>
      </c>
      <c r="AX133" s="34">
        <f>IF(49&gt;=הנחות!D42,הנחות!B42*(1+הנחות!C42)^4,0)</f>
        <v>16588.8</v>
      </c>
      <c r="AY133" s="34">
        <f>IF(50&gt;=הנחות!D42,הנחות!B42*(1+הנחות!C42)^4,0)</f>
        <v>16588.8</v>
      </c>
      <c r="AZ133" s="34">
        <f>IF(51&gt;=הנחות!D42,הנחות!B42*(1+הנחות!C42)^4,0)</f>
        <v>16588.8</v>
      </c>
      <c r="BA133" s="34">
        <f>IF(52&gt;=הנחות!D42,הנחות!B42*(1+הנחות!C42)^4,0)</f>
        <v>16588.8</v>
      </c>
      <c r="BB133" s="34">
        <f>IF(53&gt;=הנחות!D42,הנחות!B42*(1+הנחות!C42)^4,0)</f>
        <v>16588.8</v>
      </c>
      <c r="BC133" s="34">
        <f>IF(54&gt;=הנחות!D42,הנחות!B42*(1+הנחות!C42)^4,0)</f>
        <v>16588.8</v>
      </c>
      <c r="BD133" s="34">
        <f>IF(55&gt;=הנחות!D42,הנחות!B42*(1+הנחות!C42)^4,0)</f>
        <v>16588.8</v>
      </c>
      <c r="BE133" s="34">
        <f>IF(56&gt;=הנחות!D42,הנחות!B42*(1+הנחות!C42)^4,0)</f>
        <v>16588.8</v>
      </c>
      <c r="BF133" s="34">
        <f>IF(57&gt;=הנחות!D42,הנחות!B42*(1+הנחות!C42)^4,0)</f>
        <v>16588.8</v>
      </c>
      <c r="BG133" s="34">
        <f>IF(58&gt;=הנחות!D42,הנחות!B42*(1+הנחות!C42)^4,0)</f>
        <v>16588.8</v>
      </c>
      <c r="BH133" s="34">
        <f>IF(59&gt;=הנחות!D42,הנחות!B42*(1+הנחות!C42)^4,0)</f>
        <v>16588.8</v>
      </c>
      <c r="BI133" s="34">
        <f>IF(60&gt;=הנחות!D42,הנחות!B42*(1+הנחות!C42)^4,0)</f>
        <v>16588.8</v>
      </c>
    </row>
    <row r="134" spans="1:61" x14ac:dyDescent="0.25">
      <c r="A134" s="31" t="s">
        <v>262</v>
      </c>
      <c r="B134" s="34">
        <f>IF(1&gt;=הנחות!D43,הנחות!B43*(1+הנחות!C43)^0,0)</f>
        <v>7500</v>
      </c>
      <c r="C134" s="34">
        <f>IF(2&gt;=הנחות!D43,הנחות!B43*(1+הנחות!C43)^0,0)</f>
        <v>7500</v>
      </c>
      <c r="D134" s="34">
        <f>IF(3&gt;=הנחות!D43,הנחות!B43*(1+הנחות!C43)^0,0)</f>
        <v>7500</v>
      </c>
      <c r="E134" s="34">
        <f>IF(4&gt;=הנחות!D43,הנחות!B43*(1+הנחות!C43)^0,0)</f>
        <v>7500</v>
      </c>
      <c r="F134" s="34">
        <f>IF(5&gt;=הנחות!D43,הנחות!B43*(1+הנחות!C43)^0,0)</f>
        <v>7500</v>
      </c>
      <c r="G134" s="34">
        <f>IF(6&gt;=הנחות!D43,הנחות!B43*(1+הנחות!C43)^0,0)</f>
        <v>7500</v>
      </c>
      <c r="H134" s="34">
        <f>IF(7&gt;=הנחות!D43,הנחות!B43*(1+הנחות!C43)^0,0)</f>
        <v>7500</v>
      </c>
      <c r="I134" s="34">
        <f>IF(8&gt;=הנחות!D43,הנחות!B43*(1+הנחות!C43)^0,0)</f>
        <v>7500</v>
      </c>
      <c r="J134" s="34">
        <f>IF(9&gt;=הנחות!D43,הנחות!B43*(1+הנחות!C43)^0,0)</f>
        <v>7500</v>
      </c>
      <c r="K134" s="34">
        <f>IF(10&gt;=הנחות!D43,הנחות!B43*(1+הנחות!C43)^0,0)</f>
        <v>7500</v>
      </c>
      <c r="L134" s="34">
        <f>IF(11&gt;=הנחות!D43,הנחות!B43*(1+הנחות!C43)^0,0)</f>
        <v>7500</v>
      </c>
      <c r="M134" s="34">
        <f>IF(12&gt;=הנחות!D43,הנחות!B43*(1+הנחות!C43)^0,0)</f>
        <v>7500</v>
      </c>
      <c r="N134" s="34">
        <f>IF(13&gt;=הנחות!D43,הנחות!B43*(1+הנחות!C43)^1,0)</f>
        <v>8250</v>
      </c>
      <c r="O134" s="34">
        <f>IF(14&gt;=הנחות!D43,הנחות!B43*(1+הנחות!C43)^1,0)</f>
        <v>8250</v>
      </c>
      <c r="P134" s="34">
        <f>IF(15&gt;=הנחות!D43,הנחות!B43*(1+הנחות!C43)^1,0)</f>
        <v>8250</v>
      </c>
      <c r="Q134" s="34">
        <f>IF(16&gt;=הנחות!D43,הנחות!B43*(1+הנחות!C43)^1,0)</f>
        <v>8250</v>
      </c>
      <c r="R134" s="34">
        <f>IF(17&gt;=הנחות!D43,הנחות!B43*(1+הנחות!C43)^1,0)</f>
        <v>8250</v>
      </c>
      <c r="S134" s="34">
        <f>IF(18&gt;=הנחות!D43,הנחות!B43*(1+הנחות!C43)^1,0)</f>
        <v>8250</v>
      </c>
      <c r="T134" s="34">
        <f>IF(19&gt;=הנחות!D43,הנחות!B43*(1+הנחות!C43)^1,0)</f>
        <v>8250</v>
      </c>
      <c r="U134" s="34">
        <f>IF(20&gt;=הנחות!D43,הנחות!B43*(1+הנחות!C43)^1,0)</f>
        <v>8250</v>
      </c>
      <c r="V134" s="34">
        <f>IF(21&gt;=הנחות!D43,הנחות!B43*(1+הנחות!C43)^1,0)</f>
        <v>8250</v>
      </c>
      <c r="W134" s="34">
        <f>IF(22&gt;=הנחות!D43,הנחות!B43*(1+הנחות!C43)^1,0)</f>
        <v>8250</v>
      </c>
      <c r="X134" s="34">
        <f>IF(23&gt;=הנחות!D43,הנחות!B43*(1+הנחות!C43)^1,0)</f>
        <v>8250</v>
      </c>
      <c r="Y134" s="34">
        <f>IF(24&gt;=הנחות!D43,הנחות!B43*(1+הנחות!C43)^1,0)</f>
        <v>8250</v>
      </c>
      <c r="Z134" s="34">
        <f>IF(25&gt;=הנחות!D43,הנחות!B43*(1+הנחות!C43)^2,0)</f>
        <v>9075.0000000000018</v>
      </c>
      <c r="AA134" s="34">
        <f>IF(26&gt;=הנחות!D43,הנחות!B43*(1+הנחות!C43)^2,0)</f>
        <v>9075.0000000000018</v>
      </c>
      <c r="AB134" s="34">
        <f>IF(27&gt;=הנחות!D43,הנחות!B43*(1+הנחות!C43)^2,0)</f>
        <v>9075.0000000000018</v>
      </c>
      <c r="AC134" s="34">
        <f>IF(28&gt;=הנחות!D43,הנחות!B43*(1+הנחות!C43)^2,0)</f>
        <v>9075.0000000000018</v>
      </c>
      <c r="AD134" s="34">
        <f>IF(29&gt;=הנחות!D43,הנחות!B43*(1+הנחות!C43)^2,0)</f>
        <v>9075.0000000000018</v>
      </c>
      <c r="AE134" s="34">
        <f>IF(30&gt;=הנחות!D43,הנחות!B43*(1+הנחות!C43)^2,0)</f>
        <v>9075.0000000000018</v>
      </c>
      <c r="AF134" s="34">
        <f>IF(31&gt;=הנחות!D43,הנחות!B43*(1+הנחות!C43)^2,0)</f>
        <v>9075.0000000000018</v>
      </c>
      <c r="AG134" s="34">
        <f>IF(32&gt;=הנחות!D43,הנחות!B43*(1+הנחות!C43)^2,0)</f>
        <v>9075.0000000000018</v>
      </c>
      <c r="AH134" s="34">
        <f>IF(33&gt;=הנחות!D43,הנחות!B43*(1+הנחות!C43)^2,0)</f>
        <v>9075.0000000000018</v>
      </c>
      <c r="AI134" s="34">
        <f>IF(34&gt;=הנחות!D43,הנחות!B43*(1+הנחות!C43)^2,0)</f>
        <v>9075.0000000000018</v>
      </c>
      <c r="AJ134" s="34">
        <f>IF(35&gt;=הנחות!D43,הנחות!B43*(1+הנחות!C43)^2,0)</f>
        <v>9075.0000000000018</v>
      </c>
      <c r="AK134" s="34">
        <f>IF(36&gt;=הנחות!D43,הנחות!B43*(1+הנחות!C43)^2,0)</f>
        <v>9075.0000000000018</v>
      </c>
      <c r="AL134" s="34">
        <f>IF(37&gt;=הנחות!D43,הנחות!B43*(1+הנחות!C43)^3,0)</f>
        <v>9982.5000000000036</v>
      </c>
      <c r="AM134" s="34">
        <f>IF(38&gt;=הנחות!D43,הנחות!B43*(1+הנחות!C43)^3,0)</f>
        <v>9982.5000000000036</v>
      </c>
      <c r="AN134" s="34">
        <f>IF(39&gt;=הנחות!D43,הנחות!B43*(1+הנחות!C43)^3,0)</f>
        <v>9982.5000000000036</v>
      </c>
      <c r="AO134" s="34">
        <f>IF(40&gt;=הנחות!D43,הנחות!B43*(1+הנחות!C43)^3,0)</f>
        <v>9982.5000000000036</v>
      </c>
      <c r="AP134" s="34">
        <f>IF(41&gt;=הנחות!D43,הנחות!B43*(1+הנחות!C43)^3,0)</f>
        <v>9982.5000000000036</v>
      </c>
      <c r="AQ134" s="34">
        <f>IF(42&gt;=הנחות!D43,הנחות!B43*(1+הנחות!C43)^3,0)</f>
        <v>9982.5000000000036</v>
      </c>
      <c r="AR134" s="34">
        <f>IF(43&gt;=הנחות!D43,הנחות!B43*(1+הנחות!C43)^3,0)</f>
        <v>9982.5000000000036</v>
      </c>
      <c r="AS134" s="34">
        <f>IF(44&gt;=הנחות!D43,הנחות!B43*(1+הנחות!C43)^3,0)</f>
        <v>9982.5000000000036</v>
      </c>
      <c r="AT134" s="34">
        <f>IF(45&gt;=הנחות!D43,הנחות!B43*(1+הנחות!C43)^3,0)</f>
        <v>9982.5000000000036</v>
      </c>
      <c r="AU134" s="34">
        <f>IF(46&gt;=הנחות!D43,הנחות!B43*(1+הנחות!C43)^3,0)</f>
        <v>9982.5000000000036</v>
      </c>
      <c r="AV134" s="34">
        <f>IF(47&gt;=הנחות!D43,הנחות!B43*(1+הנחות!C43)^3,0)</f>
        <v>9982.5000000000036</v>
      </c>
      <c r="AW134" s="34">
        <f>IF(48&gt;=הנחות!D43,הנחות!B43*(1+הנחות!C43)^3,0)</f>
        <v>9982.5000000000036</v>
      </c>
      <c r="AX134" s="34">
        <f>IF(49&gt;=הנחות!D43,הנחות!B43*(1+הנחות!C43)^4,0)</f>
        <v>10980.750000000004</v>
      </c>
      <c r="AY134" s="34">
        <f>IF(50&gt;=הנחות!D43,הנחות!B43*(1+הנחות!C43)^4,0)</f>
        <v>10980.750000000004</v>
      </c>
      <c r="AZ134" s="34">
        <f>IF(51&gt;=הנחות!D43,הנחות!B43*(1+הנחות!C43)^4,0)</f>
        <v>10980.750000000004</v>
      </c>
      <c r="BA134" s="34">
        <f>IF(52&gt;=הנחות!D43,הנחות!B43*(1+הנחות!C43)^4,0)</f>
        <v>10980.750000000004</v>
      </c>
      <c r="BB134" s="34">
        <f>IF(53&gt;=הנחות!D43,הנחות!B43*(1+הנחות!C43)^4,0)</f>
        <v>10980.750000000004</v>
      </c>
      <c r="BC134" s="34">
        <f>IF(54&gt;=הנחות!D43,הנחות!B43*(1+הנחות!C43)^4,0)</f>
        <v>10980.750000000004</v>
      </c>
      <c r="BD134" s="34">
        <f>IF(55&gt;=הנחות!D43,הנחות!B43*(1+הנחות!C43)^4,0)</f>
        <v>10980.750000000004</v>
      </c>
      <c r="BE134" s="34">
        <f>IF(56&gt;=הנחות!D43,הנחות!B43*(1+הנחות!C43)^4,0)</f>
        <v>10980.750000000004</v>
      </c>
      <c r="BF134" s="34">
        <f>IF(57&gt;=הנחות!D43,הנחות!B43*(1+הנחות!C43)^4,0)</f>
        <v>10980.750000000004</v>
      </c>
      <c r="BG134" s="34">
        <f>IF(58&gt;=הנחות!D43,הנחות!B43*(1+הנחות!C43)^4,0)</f>
        <v>10980.750000000004</v>
      </c>
      <c r="BH134" s="34">
        <f>IF(59&gt;=הנחות!D43,הנחות!B43*(1+הנחות!C43)^4,0)</f>
        <v>10980.750000000004</v>
      </c>
      <c r="BI134" s="34">
        <f>IF(60&gt;=הנחות!D43,הנחות!B43*(1+הנחות!C43)^4,0)</f>
        <v>10980.750000000004</v>
      </c>
    </row>
    <row r="135" spans="1:61" x14ac:dyDescent="0.25">
      <c r="A135" s="31" t="s">
        <v>263</v>
      </c>
      <c r="B135" s="34">
        <f>IF(1&gt;=הנחות!D44,הנחות!B44*(1+הנחות!C44)^0,0)</f>
        <v>0</v>
      </c>
      <c r="C135" s="34">
        <f>IF(2&gt;=הנחות!D44,הנחות!B44*(1+הנחות!C44)^0,0)</f>
        <v>0</v>
      </c>
      <c r="D135" s="34">
        <f>IF(3&gt;=הנחות!D44,הנחות!B44*(1+הנחות!C44)^0,0)</f>
        <v>0</v>
      </c>
      <c r="E135" s="34">
        <f>IF(4&gt;=הנחות!D44,הנחות!B44*(1+הנחות!C44)^0,0)</f>
        <v>0</v>
      </c>
      <c r="F135" s="34">
        <f>IF(5&gt;=הנחות!D44,הנחות!B44*(1+הנחות!C44)^0,0)</f>
        <v>0</v>
      </c>
      <c r="G135" s="34">
        <f>IF(6&gt;=הנחות!D44,הנחות!B44*(1+הנחות!C44)^0,0)</f>
        <v>0</v>
      </c>
      <c r="H135" s="34">
        <f>IF(7&gt;=הנחות!D44,הנחות!B44*(1+הנחות!C44)^0,0)</f>
        <v>0</v>
      </c>
      <c r="I135" s="34">
        <f>IF(8&gt;=הנחות!D44,הנחות!B44*(1+הנחות!C44)^0,0)</f>
        <v>0</v>
      </c>
      <c r="J135" s="34">
        <f>IF(9&gt;=הנחות!D44,הנחות!B44*(1+הנחות!C44)^0,0)</f>
        <v>0</v>
      </c>
      <c r="K135" s="34">
        <f>IF(10&gt;=הנחות!D44,הנחות!B44*(1+הנחות!C44)^0,0)</f>
        <v>0</v>
      </c>
      <c r="L135" s="34">
        <f>IF(11&gt;=הנחות!D44,הנחות!B44*(1+הנחות!C44)^0,0)</f>
        <v>0</v>
      </c>
      <c r="M135" s="34">
        <f>IF(12&gt;=הנחות!D44,הנחות!B44*(1+הנחות!C44)^0,0)</f>
        <v>2500</v>
      </c>
      <c r="N135" s="34">
        <f>IF(13&gt;=הנחות!D44,הנחות!B44*(1+הנחות!C44)^1,0)</f>
        <v>2750</v>
      </c>
      <c r="O135" s="34">
        <f>IF(14&gt;=הנחות!D44,הנחות!B44*(1+הנחות!C44)^1,0)</f>
        <v>2750</v>
      </c>
      <c r="P135" s="34">
        <f>IF(15&gt;=הנחות!D44,הנחות!B44*(1+הנחות!C44)^1,0)</f>
        <v>2750</v>
      </c>
      <c r="Q135" s="34">
        <f>IF(16&gt;=הנחות!D44,הנחות!B44*(1+הנחות!C44)^1,0)</f>
        <v>2750</v>
      </c>
      <c r="R135" s="34">
        <f>IF(17&gt;=הנחות!D44,הנחות!B44*(1+הנחות!C44)^1,0)</f>
        <v>2750</v>
      </c>
      <c r="S135" s="34">
        <f>IF(18&gt;=הנחות!D44,הנחות!B44*(1+הנחות!C44)^1,0)</f>
        <v>2750</v>
      </c>
      <c r="T135" s="34">
        <f>IF(19&gt;=הנחות!D44,הנחות!B44*(1+הנחות!C44)^1,0)</f>
        <v>2750</v>
      </c>
      <c r="U135" s="34">
        <f>IF(20&gt;=הנחות!D44,הנחות!B44*(1+הנחות!C44)^1,0)</f>
        <v>2750</v>
      </c>
      <c r="V135" s="34">
        <f>IF(21&gt;=הנחות!D44,הנחות!B44*(1+הנחות!C44)^1,0)</f>
        <v>2750</v>
      </c>
      <c r="W135" s="34">
        <f>IF(22&gt;=הנחות!D44,הנחות!B44*(1+הנחות!C44)^1,0)</f>
        <v>2750</v>
      </c>
      <c r="X135" s="34">
        <f>IF(23&gt;=הנחות!D44,הנחות!B44*(1+הנחות!C44)^1,0)</f>
        <v>2750</v>
      </c>
      <c r="Y135" s="34">
        <f>IF(24&gt;=הנחות!D44,הנחות!B44*(1+הנחות!C44)^1,0)</f>
        <v>2750</v>
      </c>
      <c r="Z135" s="34">
        <f>IF(25&gt;=הנחות!D44,הנחות!B44*(1+הנחות!C44)^2,0)</f>
        <v>3025.0000000000005</v>
      </c>
      <c r="AA135" s="34">
        <f>IF(26&gt;=הנחות!D44,הנחות!B44*(1+הנחות!C44)^2,0)</f>
        <v>3025.0000000000005</v>
      </c>
      <c r="AB135" s="34">
        <f>IF(27&gt;=הנחות!D44,הנחות!B44*(1+הנחות!C44)^2,0)</f>
        <v>3025.0000000000005</v>
      </c>
      <c r="AC135" s="34">
        <f>IF(28&gt;=הנחות!D44,הנחות!B44*(1+הנחות!C44)^2,0)</f>
        <v>3025.0000000000005</v>
      </c>
      <c r="AD135" s="34">
        <f>IF(29&gt;=הנחות!D44,הנחות!B44*(1+הנחות!C44)^2,0)</f>
        <v>3025.0000000000005</v>
      </c>
      <c r="AE135" s="34">
        <f>IF(30&gt;=הנחות!D44,הנחות!B44*(1+הנחות!C44)^2,0)</f>
        <v>3025.0000000000005</v>
      </c>
      <c r="AF135" s="34">
        <f>IF(31&gt;=הנחות!D44,הנחות!B44*(1+הנחות!C44)^2,0)</f>
        <v>3025.0000000000005</v>
      </c>
      <c r="AG135" s="34">
        <f>IF(32&gt;=הנחות!D44,הנחות!B44*(1+הנחות!C44)^2,0)</f>
        <v>3025.0000000000005</v>
      </c>
      <c r="AH135" s="34">
        <f>IF(33&gt;=הנחות!D44,הנחות!B44*(1+הנחות!C44)^2,0)</f>
        <v>3025.0000000000005</v>
      </c>
      <c r="AI135" s="34">
        <f>IF(34&gt;=הנחות!D44,הנחות!B44*(1+הנחות!C44)^2,0)</f>
        <v>3025.0000000000005</v>
      </c>
      <c r="AJ135" s="34">
        <f>IF(35&gt;=הנחות!D44,הנחות!B44*(1+הנחות!C44)^2,0)</f>
        <v>3025.0000000000005</v>
      </c>
      <c r="AK135" s="34">
        <f>IF(36&gt;=הנחות!D44,הנחות!B44*(1+הנחות!C44)^2,0)</f>
        <v>3025.0000000000005</v>
      </c>
      <c r="AL135" s="34">
        <f>IF(37&gt;=הנחות!D44,הנחות!B44*(1+הנחות!C44)^3,0)</f>
        <v>3327.5000000000009</v>
      </c>
      <c r="AM135" s="34">
        <f>IF(38&gt;=הנחות!D44,הנחות!B44*(1+הנחות!C44)^3,0)</f>
        <v>3327.5000000000009</v>
      </c>
      <c r="AN135" s="34">
        <f>IF(39&gt;=הנחות!D44,הנחות!B44*(1+הנחות!C44)^3,0)</f>
        <v>3327.5000000000009</v>
      </c>
      <c r="AO135" s="34">
        <f>IF(40&gt;=הנחות!D44,הנחות!B44*(1+הנחות!C44)^3,0)</f>
        <v>3327.5000000000009</v>
      </c>
      <c r="AP135" s="34">
        <f>IF(41&gt;=הנחות!D44,הנחות!B44*(1+הנחות!C44)^3,0)</f>
        <v>3327.5000000000009</v>
      </c>
      <c r="AQ135" s="34">
        <f>IF(42&gt;=הנחות!D44,הנחות!B44*(1+הנחות!C44)^3,0)</f>
        <v>3327.5000000000009</v>
      </c>
      <c r="AR135" s="34">
        <f>IF(43&gt;=הנחות!D44,הנחות!B44*(1+הנחות!C44)^3,0)</f>
        <v>3327.5000000000009</v>
      </c>
      <c r="AS135" s="34">
        <f>IF(44&gt;=הנחות!D44,הנחות!B44*(1+הנחות!C44)^3,0)</f>
        <v>3327.5000000000009</v>
      </c>
      <c r="AT135" s="34">
        <f>IF(45&gt;=הנחות!D44,הנחות!B44*(1+הנחות!C44)^3,0)</f>
        <v>3327.5000000000009</v>
      </c>
      <c r="AU135" s="34">
        <f>IF(46&gt;=הנחות!D44,הנחות!B44*(1+הנחות!C44)^3,0)</f>
        <v>3327.5000000000009</v>
      </c>
      <c r="AV135" s="34">
        <f>IF(47&gt;=הנחות!D44,הנחות!B44*(1+הנחות!C44)^3,0)</f>
        <v>3327.5000000000009</v>
      </c>
      <c r="AW135" s="34">
        <f>IF(48&gt;=הנחות!D44,הנחות!B44*(1+הנחות!C44)^3,0)</f>
        <v>3327.5000000000009</v>
      </c>
      <c r="AX135" s="34">
        <f>IF(49&gt;=הנחות!D44,הנחות!B44*(1+הנחות!C44)^4,0)</f>
        <v>3660.2500000000009</v>
      </c>
      <c r="AY135" s="34">
        <f>IF(50&gt;=הנחות!D44,הנחות!B44*(1+הנחות!C44)^4,0)</f>
        <v>3660.2500000000009</v>
      </c>
      <c r="AZ135" s="34">
        <f>IF(51&gt;=הנחות!D44,הנחות!B44*(1+הנחות!C44)^4,0)</f>
        <v>3660.2500000000009</v>
      </c>
      <c r="BA135" s="34">
        <f>IF(52&gt;=הנחות!D44,הנחות!B44*(1+הנחות!C44)^4,0)</f>
        <v>3660.2500000000009</v>
      </c>
      <c r="BB135" s="34">
        <f>IF(53&gt;=הנחות!D44,הנחות!B44*(1+הנחות!C44)^4,0)</f>
        <v>3660.2500000000009</v>
      </c>
      <c r="BC135" s="34">
        <f>IF(54&gt;=הנחות!D44,הנחות!B44*(1+הנחות!C44)^4,0)</f>
        <v>3660.2500000000009</v>
      </c>
      <c r="BD135" s="34">
        <f>IF(55&gt;=הנחות!D44,הנחות!B44*(1+הנחות!C44)^4,0)</f>
        <v>3660.2500000000009</v>
      </c>
      <c r="BE135" s="34">
        <f>IF(56&gt;=הנחות!D44,הנחות!B44*(1+הנחות!C44)^4,0)</f>
        <v>3660.2500000000009</v>
      </c>
      <c r="BF135" s="34">
        <f>IF(57&gt;=הנחות!D44,הנחות!B44*(1+הנחות!C44)^4,0)</f>
        <v>3660.2500000000009</v>
      </c>
      <c r="BG135" s="34">
        <f>IF(58&gt;=הנחות!D44,הנחות!B44*(1+הנחות!C44)^4,0)</f>
        <v>3660.2500000000009</v>
      </c>
      <c r="BH135" s="34">
        <f>IF(59&gt;=הנחות!D44,הנחות!B44*(1+הנחות!C44)^4,0)</f>
        <v>3660.2500000000009</v>
      </c>
      <c r="BI135" s="34">
        <f>IF(60&gt;=הנחות!D44,הנחות!B44*(1+הנחות!C44)^4,0)</f>
        <v>3660.2500000000009</v>
      </c>
    </row>
    <row r="136" spans="1:61" x14ac:dyDescent="0.25">
      <c r="A136" s="31" t="s">
        <v>264</v>
      </c>
      <c r="B136" s="34">
        <f>IF(1&gt;=הנחות!D45,הנחות!B45*(1+הנחות!C45)^0,0)</f>
        <v>0</v>
      </c>
      <c r="C136" s="34">
        <f>IF(2&gt;=הנחות!D45,הנחות!B45*(1+הנחות!C45)^0,0)</f>
        <v>0</v>
      </c>
      <c r="D136" s="34">
        <f>IF(3&gt;=הנחות!D45,הנחות!B45*(1+הנחות!C45)^0,0)</f>
        <v>0</v>
      </c>
      <c r="E136" s="34">
        <f>IF(4&gt;=הנחות!D45,הנחות!B45*(1+הנחות!C45)^0,0)</f>
        <v>0</v>
      </c>
      <c r="F136" s="34">
        <f>IF(5&gt;=הנחות!D45,הנחות!B45*(1+הנחות!C45)^0,0)</f>
        <v>0</v>
      </c>
      <c r="G136" s="34">
        <f>IF(6&gt;=הנחות!D45,הנחות!B45*(1+הנחות!C45)^0,0)</f>
        <v>0</v>
      </c>
      <c r="H136" s="34">
        <f>IF(7&gt;=הנחות!D45,הנחות!B45*(1+הנחות!C45)^0,0)</f>
        <v>0</v>
      </c>
      <c r="I136" s="34">
        <f>IF(8&gt;=הנחות!D45,הנחות!B45*(1+הנחות!C45)^0,0)</f>
        <v>0</v>
      </c>
      <c r="J136" s="34">
        <f>IF(9&gt;=הנחות!D45,הנחות!B45*(1+הנחות!C45)^0,0)</f>
        <v>0</v>
      </c>
      <c r="K136" s="34">
        <f>IF(10&gt;=הנחות!D45,הנחות!B45*(1+הנחות!C45)^0,0)</f>
        <v>0</v>
      </c>
      <c r="L136" s="34">
        <f>IF(11&gt;=הנחות!D45,הנחות!B45*(1+הנחות!C45)^0,0)</f>
        <v>0</v>
      </c>
      <c r="M136" s="34">
        <f>IF(12&gt;=הנחות!D45,הנחות!B45*(1+הנחות!C45)^0,0)</f>
        <v>5000</v>
      </c>
      <c r="N136" s="34">
        <f>IF(13&gt;=הנחות!D45,הנחות!B45*(1+הנחות!C45)^1,0)</f>
        <v>6000</v>
      </c>
      <c r="O136" s="34">
        <f>IF(14&gt;=הנחות!D45,הנחות!B45*(1+הנחות!C45)^1,0)</f>
        <v>6000</v>
      </c>
      <c r="P136" s="34">
        <f>IF(15&gt;=הנחות!D45,הנחות!B45*(1+הנחות!C45)^1,0)</f>
        <v>6000</v>
      </c>
      <c r="Q136" s="34">
        <f>IF(16&gt;=הנחות!D45,הנחות!B45*(1+הנחות!C45)^1,0)</f>
        <v>6000</v>
      </c>
      <c r="R136" s="34">
        <f>IF(17&gt;=הנחות!D45,הנחות!B45*(1+הנחות!C45)^1,0)</f>
        <v>6000</v>
      </c>
      <c r="S136" s="34">
        <f>IF(18&gt;=הנחות!D45,הנחות!B45*(1+הנחות!C45)^1,0)</f>
        <v>6000</v>
      </c>
      <c r="T136" s="34">
        <f>IF(19&gt;=הנחות!D45,הנחות!B45*(1+הנחות!C45)^1,0)</f>
        <v>6000</v>
      </c>
      <c r="U136" s="34">
        <f>IF(20&gt;=הנחות!D45,הנחות!B45*(1+הנחות!C45)^1,0)</f>
        <v>6000</v>
      </c>
      <c r="V136" s="34">
        <f>IF(21&gt;=הנחות!D45,הנחות!B45*(1+הנחות!C45)^1,0)</f>
        <v>6000</v>
      </c>
      <c r="W136" s="34">
        <f>IF(22&gt;=הנחות!D45,הנחות!B45*(1+הנחות!C45)^1,0)</f>
        <v>6000</v>
      </c>
      <c r="X136" s="34">
        <f>IF(23&gt;=הנחות!D45,הנחות!B45*(1+הנחות!C45)^1,0)</f>
        <v>6000</v>
      </c>
      <c r="Y136" s="34">
        <f>IF(24&gt;=הנחות!D45,הנחות!B45*(1+הנחות!C45)^1,0)</f>
        <v>6000</v>
      </c>
      <c r="Z136" s="34">
        <f>IF(25&gt;=הנחות!D45,הנחות!B45*(1+הנחות!C45)^2,0)</f>
        <v>7200</v>
      </c>
      <c r="AA136" s="34">
        <f>IF(26&gt;=הנחות!D45,הנחות!B45*(1+הנחות!C45)^2,0)</f>
        <v>7200</v>
      </c>
      <c r="AB136" s="34">
        <f>IF(27&gt;=הנחות!D45,הנחות!B45*(1+הנחות!C45)^2,0)</f>
        <v>7200</v>
      </c>
      <c r="AC136" s="34">
        <f>IF(28&gt;=הנחות!D45,הנחות!B45*(1+הנחות!C45)^2,0)</f>
        <v>7200</v>
      </c>
      <c r="AD136" s="34">
        <f>IF(29&gt;=הנחות!D45,הנחות!B45*(1+הנחות!C45)^2,0)</f>
        <v>7200</v>
      </c>
      <c r="AE136" s="34">
        <f>IF(30&gt;=הנחות!D45,הנחות!B45*(1+הנחות!C45)^2,0)</f>
        <v>7200</v>
      </c>
      <c r="AF136" s="34">
        <f>IF(31&gt;=הנחות!D45,הנחות!B45*(1+הנחות!C45)^2,0)</f>
        <v>7200</v>
      </c>
      <c r="AG136" s="34">
        <f>IF(32&gt;=הנחות!D45,הנחות!B45*(1+הנחות!C45)^2,0)</f>
        <v>7200</v>
      </c>
      <c r="AH136" s="34">
        <f>IF(33&gt;=הנחות!D45,הנחות!B45*(1+הנחות!C45)^2,0)</f>
        <v>7200</v>
      </c>
      <c r="AI136" s="34">
        <f>IF(34&gt;=הנחות!D45,הנחות!B45*(1+הנחות!C45)^2,0)</f>
        <v>7200</v>
      </c>
      <c r="AJ136" s="34">
        <f>IF(35&gt;=הנחות!D45,הנחות!B45*(1+הנחות!C45)^2,0)</f>
        <v>7200</v>
      </c>
      <c r="AK136" s="34">
        <f>IF(36&gt;=הנחות!D45,הנחות!B45*(1+הנחות!C45)^2,0)</f>
        <v>7200</v>
      </c>
      <c r="AL136" s="34">
        <f>IF(37&gt;=הנחות!D45,הנחות!B45*(1+הנחות!C45)^3,0)</f>
        <v>8640</v>
      </c>
      <c r="AM136" s="34">
        <f>IF(38&gt;=הנחות!D45,הנחות!B45*(1+הנחות!C45)^3,0)</f>
        <v>8640</v>
      </c>
      <c r="AN136" s="34">
        <f>IF(39&gt;=הנחות!D45,הנחות!B45*(1+הנחות!C45)^3,0)</f>
        <v>8640</v>
      </c>
      <c r="AO136" s="34">
        <f>IF(40&gt;=הנחות!D45,הנחות!B45*(1+הנחות!C45)^3,0)</f>
        <v>8640</v>
      </c>
      <c r="AP136" s="34">
        <f>IF(41&gt;=הנחות!D45,הנחות!B45*(1+הנחות!C45)^3,0)</f>
        <v>8640</v>
      </c>
      <c r="AQ136" s="34">
        <f>IF(42&gt;=הנחות!D45,הנחות!B45*(1+הנחות!C45)^3,0)</f>
        <v>8640</v>
      </c>
      <c r="AR136" s="34">
        <f>IF(43&gt;=הנחות!D45,הנחות!B45*(1+הנחות!C45)^3,0)</f>
        <v>8640</v>
      </c>
      <c r="AS136" s="34">
        <f>IF(44&gt;=הנחות!D45,הנחות!B45*(1+הנחות!C45)^3,0)</f>
        <v>8640</v>
      </c>
      <c r="AT136" s="34">
        <f>IF(45&gt;=הנחות!D45,הנחות!B45*(1+הנחות!C45)^3,0)</f>
        <v>8640</v>
      </c>
      <c r="AU136" s="34">
        <f>IF(46&gt;=הנחות!D45,הנחות!B45*(1+הנחות!C45)^3,0)</f>
        <v>8640</v>
      </c>
      <c r="AV136" s="34">
        <f>IF(47&gt;=הנחות!D45,הנחות!B45*(1+הנחות!C45)^3,0)</f>
        <v>8640</v>
      </c>
      <c r="AW136" s="34">
        <f>IF(48&gt;=הנחות!D45,הנחות!B45*(1+הנחות!C45)^3,0)</f>
        <v>8640</v>
      </c>
      <c r="AX136" s="34">
        <f>IF(49&gt;=הנחות!D45,הנחות!B45*(1+הנחות!C45)^4,0)</f>
        <v>10368</v>
      </c>
      <c r="AY136" s="34">
        <f>IF(50&gt;=הנחות!D45,הנחות!B45*(1+הנחות!C45)^4,0)</f>
        <v>10368</v>
      </c>
      <c r="AZ136" s="34">
        <f>IF(51&gt;=הנחות!D45,הנחות!B45*(1+הנחות!C45)^4,0)</f>
        <v>10368</v>
      </c>
      <c r="BA136" s="34">
        <f>IF(52&gt;=הנחות!D45,הנחות!B45*(1+הנחות!C45)^4,0)</f>
        <v>10368</v>
      </c>
      <c r="BB136" s="34">
        <f>IF(53&gt;=הנחות!D45,הנחות!B45*(1+הנחות!C45)^4,0)</f>
        <v>10368</v>
      </c>
      <c r="BC136" s="34">
        <f>IF(54&gt;=הנחות!D45,הנחות!B45*(1+הנחות!C45)^4,0)</f>
        <v>10368</v>
      </c>
      <c r="BD136" s="34">
        <f>IF(55&gt;=הנחות!D45,הנחות!B45*(1+הנחות!C45)^4,0)</f>
        <v>10368</v>
      </c>
      <c r="BE136" s="34">
        <f>IF(56&gt;=הנחות!D45,הנחות!B45*(1+הנחות!C45)^4,0)</f>
        <v>10368</v>
      </c>
      <c r="BF136" s="34">
        <f>IF(57&gt;=הנחות!D45,הנחות!B45*(1+הנחות!C45)^4,0)</f>
        <v>10368</v>
      </c>
      <c r="BG136" s="34">
        <f>IF(58&gt;=הנחות!D45,הנחות!B45*(1+הנחות!C45)^4,0)</f>
        <v>10368</v>
      </c>
      <c r="BH136" s="34">
        <f>IF(59&gt;=הנחות!D45,הנחות!B45*(1+הנחות!C45)^4,0)</f>
        <v>10368</v>
      </c>
      <c r="BI136" s="34">
        <f>IF(60&gt;=הנחות!D45,הנחות!B45*(1+הנחות!C45)^4,0)</f>
        <v>10368</v>
      </c>
    </row>
    <row r="137" spans="1:61" x14ac:dyDescent="0.25">
      <c r="A137" s="31" t="s">
        <v>265</v>
      </c>
      <c r="B137" s="34">
        <f>IF(1&gt;=הנחות!D46,הנחות!B46*(1+הנחות!C46)^0,0)</f>
        <v>7500</v>
      </c>
      <c r="C137" s="34">
        <f>IF(2&gt;=הנחות!D46,הנחות!B46*(1+הנחות!C46)^0,0)</f>
        <v>7500</v>
      </c>
      <c r="D137" s="34">
        <f>IF(3&gt;=הנחות!D46,הנחות!B46*(1+הנחות!C46)^0,0)</f>
        <v>7500</v>
      </c>
      <c r="E137" s="34">
        <f>IF(4&gt;=הנחות!D46,הנחות!B46*(1+הנחות!C46)^0,0)</f>
        <v>7500</v>
      </c>
      <c r="F137" s="34">
        <f>IF(5&gt;=הנחות!D46,הנחות!B46*(1+הנחות!C46)^0,0)</f>
        <v>7500</v>
      </c>
      <c r="G137" s="34">
        <f>IF(6&gt;=הנחות!D46,הנחות!B46*(1+הנחות!C46)^0,0)</f>
        <v>7500</v>
      </c>
      <c r="H137" s="34">
        <f>IF(7&gt;=הנחות!D46,הנחות!B46*(1+הנחות!C46)^0,0)</f>
        <v>7500</v>
      </c>
      <c r="I137" s="34">
        <f>IF(8&gt;=הנחות!D46,הנחות!B46*(1+הנחות!C46)^0,0)</f>
        <v>7500</v>
      </c>
      <c r="J137" s="34">
        <f>IF(9&gt;=הנחות!D46,הנחות!B46*(1+הנחות!C46)^0,0)</f>
        <v>7500</v>
      </c>
      <c r="K137" s="34">
        <f>IF(10&gt;=הנחות!D46,הנחות!B46*(1+הנחות!C46)^0,0)</f>
        <v>7500</v>
      </c>
      <c r="L137" s="34">
        <f>IF(11&gt;=הנחות!D46,הנחות!B46*(1+הנחות!C46)^0,0)</f>
        <v>7500</v>
      </c>
      <c r="M137" s="34">
        <f>IF(12&gt;=הנחות!D46,הנחות!B46*(1+הנחות!C46)^0,0)</f>
        <v>7500</v>
      </c>
      <c r="N137" s="34">
        <f>IF(13&gt;=הנחות!D46,הנחות!B46*(1+הנחות!C46)^1,0)</f>
        <v>7875</v>
      </c>
      <c r="O137" s="34">
        <f>IF(14&gt;=הנחות!D46,הנחות!B46*(1+הנחות!C46)^1,0)</f>
        <v>7875</v>
      </c>
      <c r="P137" s="34">
        <f>IF(15&gt;=הנחות!D46,הנחות!B46*(1+הנחות!C46)^1,0)</f>
        <v>7875</v>
      </c>
      <c r="Q137" s="34">
        <f>IF(16&gt;=הנחות!D46,הנחות!B46*(1+הנחות!C46)^1,0)</f>
        <v>7875</v>
      </c>
      <c r="R137" s="34">
        <f>IF(17&gt;=הנחות!D46,הנחות!B46*(1+הנחות!C46)^1,0)</f>
        <v>7875</v>
      </c>
      <c r="S137" s="34">
        <f>IF(18&gt;=הנחות!D46,הנחות!B46*(1+הנחות!C46)^1,0)</f>
        <v>7875</v>
      </c>
      <c r="T137" s="34">
        <f>IF(19&gt;=הנחות!D46,הנחות!B46*(1+הנחות!C46)^1,0)</f>
        <v>7875</v>
      </c>
      <c r="U137" s="34">
        <f>IF(20&gt;=הנחות!D46,הנחות!B46*(1+הנחות!C46)^1,0)</f>
        <v>7875</v>
      </c>
      <c r="V137" s="34">
        <f>IF(21&gt;=הנחות!D46,הנחות!B46*(1+הנחות!C46)^1,0)</f>
        <v>7875</v>
      </c>
      <c r="W137" s="34">
        <f>IF(22&gt;=הנחות!D46,הנחות!B46*(1+הנחות!C46)^1,0)</f>
        <v>7875</v>
      </c>
      <c r="X137" s="34">
        <f>IF(23&gt;=הנחות!D46,הנחות!B46*(1+הנחות!C46)^1,0)</f>
        <v>7875</v>
      </c>
      <c r="Y137" s="34">
        <f>IF(24&gt;=הנחות!D46,הנחות!B46*(1+הנחות!C46)^1,0)</f>
        <v>7875</v>
      </c>
      <c r="Z137" s="34">
        <f>IF(25&gt;=הנחות!D46,הנחות!B46*(1+הנחות!C46)^2,0)</f>
        <v>8268.75</v>
      </c>
      <c r="AA137" s="34">
        <f>IF(26&gt;=הנחות!D46,הנחות!B46*(1+הנחות!C46)^2,0)</f>
        <v>8268.75</v>
      </c>
      <c r="AB137" s="34">
        <f>IF(27&gt;=הנחות!D46,הנחות!B46*(1+הנחות!C46)^2,0)</f>
        <v>8268.75</v>
      </c>
      <c r="AC137" s="34">
        <f>IF(28&gt;=הנחות!D46,הנחות!B46*(1+הנחות!C46)^2,0)</f>
        <v>8268.75</v>
      </c>
      <c r="AD137" s="34">
        <f>IF(29&gt;=הנחות!D46,הנחות!B46*(1+הנחות!C46)^2,0)</f>
        <v>8268.75</v>
      </c>
      <c r="AE137" s="34">
        <f>IF(30&gt;=הנחות!D46,הנחות!B46*(1+הנחות!C46)^2,0)</f>
        <v>8268.75</v>
      </c>
      <c r="AF137" s="34">
        <f>IF(31&gt;=הנחות!D46,הנחות!B46*(1+הנחות!C46)^2,0)</f>
        <v>8268.75</v>
      </c>
      <c r="AG137" s="34">
        <f>IF(32&gt;=הנחות!D46,הנחות!B46*(1+הנחות!C46)^2,0)</f>
        <v>8268.75</v>
      </c>
      <c r="AH137" s="34">
        <f>IF(33&gt;=הנחות!D46,הנחות!B46*(1+הנחות!C46)^2,0)</f>
        <v>8268.75</v>
      </c>
      <c r="AI137" s="34">
        <f>IF(34&gt;=הנחות!D46,הנחות!B46*(1+הנחות!C46)^2,0)</f>
        <v>8268.75</v>
      </c>
      <c r="AJ137" s="34">
        <f>IF(35&gt;=הנחות!D46,הנחות!B46*(1+הנחות!C46)^2,0)</f>
        <v>8268.75</v>
      </c>
      <c r="AK137" s="34">
        <f>IF(36&gt;=הנחות!D46,הנחות!B46*(1+הנחות!C46)^2,0)</f>
        <v>8268.75</v>
      </c>
      <c r="AL137" s="34">
        <f>IF(37&gt;=הנחות!D46,הנחות!B46*(1+הנחות!C46)^3,0)</f>
        <v>8682.1875000000018</v>
      </c>
      <c r="AM137" s="34">
        <f>IF(38&gt;=הנחות!D46,הנחות!B46*(1+הנחות!C46)^3,0)</f>
        <v>8682.1875000000018</v>
      </c>
      <c r="AN137" s="34">
        <f>IF(39&gt;=הנחות!D46,הנחות!B46*(1+הנחות!C46)^3,0)</f>
        <v>8682.1875000000018</v>
      </c>
      <c r="AO137" s="34">
        <f>IF(40&gt;=הנחות!D46,הנחות!B46*(1+הנחות!C46)^3,0)</f>
        <v>8682.1875000000018</v>
      </c>
      <c r="AP137" s="34">
        <f>IF(41&gt;=הנחות!D46,הנחות!B46*(1+הנחות!C46)^3,0)</f>
        <v>8682.1875000000018</v>
      </c>
      <c r="AQ137" s="34">
        <f>IF(42&gt;=הנחות!D46,הנחות!B46*(1+הנחות!C46)^3,0)</f>
        <v>8682.1875000000018</v>
      </c>
      <c r="AR137" s="34">
        <f>IF(43&gt;=הנחות!D46,הנחות!B46*(1+הנחות!C46)^3,0)</f>
        <v>8682.1875000000018</v>
      </c>
      <c r="AS137" s="34">
        <f>IF(44&gt;=הנחות!D46,הנחות!B46*(1+הנחות!C46)^3,0)</f>
        <v>8682.1875000000018</v>
      </c>
      <c r="AT137" s="34">
        <f>IF(45&gt;=הנחות!D46,הנחות!B46*(1+הנחות!C46)^3,0)</f>
        <v>8682.1875000000018</v>
      </c>
      <c r="AU137" s="34">
        <f>IF(46&gt;=הנחות!D46,הנחות!B46*(1+הנחות!C46)^3,0)</f>
        <v>8682.1875000000018</v>
      </c>
      <c r="AV137" s="34">
        <f>IF(47&gt;=הנחות!D46,הנחות!B46*(1+הנחות!C46)^3,0)</f>
        <v>8682.1875000000018</v>
      </c>
      <c r="AW137" s="34">
        <f>IF(48&gt;=הנחות!D46,הנחות!B46*(1+הנחות!C46)^3,0)</f>
        <v>8682.1875000000018</v>
      </c>
      <c r="AX137" s="34">
        <f>IF(49&gt;=הנחות!D46,הנחות!B46*(1+הנחות!C46)^4,0)</f>
        <v>9116.296875</v>
      </c>
      <c r="AY137" s="34">
        <f>IF(50&gt;=הנחות!D46,הנחות!B46*(1+הנחות!C46)^4,0)</f>
        <v>9116.296875</v>
      </c>
      <c r="AZ137" s="34">
        <f>IF(51&gt;=הנחות!D46,הנחות!B46*(1+הנחות!C46)^4,0)</f>
        <v>9116.296875</v>
      </c>
      <c r="BA137" s="34">
        <f>IF(52&gt;=הנחות!D46,הנחות!B46*(1+הנחות!C46)^4,0)</f>
        <v>9116.296875</v>
      </c>
      <c r="BB137" s="34">
        <f>IF(53&gt;=הנחות!D46,הנחות!B46*(1+הנחות!C46)^4,0)</f>
        <v>9116.296875</v>
      </c>
      <c r="BC137" s="34">
        <f>IF(54&gt;=הנחות!D46,הנחות!B46*(1+הנחות!C46)^4,0)</f>
        <v>9116.296875</v>
      </c>
      <c r="BD137" s="34">
        <f>IF(55&gt;=הנחות!D46,הנחות!B46*(1+הנחות!C46)^4,0)</f>
        <v>9116.296875</v>
      </c>
      <c r="BE137" s="34">
        <f>IF(56&gt;=הנחות!D46,הנחות!B46*(1+הנחות!C46)^4,0)</f>
        <v>9116.296875</v>
      </c>
      <c r="BF137" s="34">
        <f>IF(57&gt;=הנחות!D46,הנחות!B46*(1+הנחות!C46)^4,0)</f>
        <v>9116.296875</v>
      </c>
      <c r="BG137" s="34">
        <f>IF(58&gt;=הנחות!D46,הנחות!B46*(1+הנחות!C46)^4,0)</f>
        <v>9116.296875</v>
      </c>
      <c r="BH137" s="34">
        <f>IF(59&gt;=הנחות!D46,הנחות!B46*(1+הנחות!C46)^4,0)</f>
        <v>9116.296875</v>
      </c>
      <c r="BI137" s="34">
        <f>IF(60&gt;=הנחות!D46,הנחות!B46*(1+הנחות!C46)^4,0)</f>
        <v>9116.296875</v>
      </c>
    </row>
    <row r="138" spans="1:61" x14ac:dyDescent="0.25">
      <c r="A138" s="31" t="s">
        <v>266</v>
      </c>
      <c r="B138" s="34">
        <f>IF(1&gt;=הנחות!D47,הנחות!B47*(1+הנחות!C47)^0,0)</f>
        <v>3000</v>
      </c>
      <c r="C138" s="34">
        <f>IF(2&gt;=הנחות!D47,הנחות!B47*(1+הנחות!C47)^0,0)</f>
        <v>3000</v>
      </c>
      <c r="D138" s="34">
        <f>IF(3&gt;=הנחות!D47,הנחות!B47*(1+הנחות!C47)^0,0)</f>
        <v>3000</v>
      </c>
      <c r="E138" s="34">
        <f>IF(4&gt;=הנחות!D47,הנחות!B47*(1+הנחות!C47)^0,0)</f>
        <v>3000</v>
      </c>
      <c r="F138" s="34">
        <f>IF(5&gt;=הנחות!D47,הנחות!B47*(1+הנחות!C47)^0,0)</f>
        <v>3000</v>
      </c>
      <c r="G138" s="34">
        <f>IF(6&gt;=הנחות!D47,הנחות!B47*(1+הנחות!C47)^0,0)</f>
        <v>3000</v>
      </c>
      <c r="H138" s="34">
        <f>IF(7&gt;=הנחות!D47,הנחות!B47*(1+הנחות!C47)^0,0)</f>
        <v>3000</v>
      </c>
      <c r="I138" s="34">
        <f>IF(8&gt;=הנחות!D47,הנחות!B47*(1+הנחות!C47)^0,0)</f>
        <v>3000</v>
      </c>
      <c r="J138" s="34">
        <f>IF(9&gt;=הנחות!D47,הנחות!B47*(1+הנחות!C47)^0,0)</f>
        <v>3000</v>
      </c>
      <c r="K138" s="34">
        <f>IF(10&gt;=הנחות!D47,הנחות!B47*(1+הנחות!C47)^0,0)</f>
        <v>3000</v>
      </c>
      <c r="L138" s="34">
        <f>IF(11&gt;=הנחות!D47,הנחות!B47*(1+הנחות!C47)^0,0)</f>
        <v>3000</v>
      </c>
      <c r="M138" s="34">
        <f>IF(12&gt;=הנחות!D47,הנחות!B47*(1+הנחות!C47)^0,0)</f>
        <v>3000</v>
      </c>
      <c r="N138" s="34">
        <f>IF(13&gt;=הנחות!D47,הנחות!B47*(1+הנחות!C47)^1,0)</f>
        <v>3150</v>
      </c>
      <c r="O138" s="34">
        <f>IF(14&gt;=הנחות!D47,הנחות!B47*(1+הנחות!C47)^1,0)</f>
        <v>3150</v>
      </c>
      <c r="P138" s="34">
        <f>IF(15&gt;=הנחות!D47,הנחות!B47*(1+הנחות!C47)^1,0)</f>
        <v>3150</v>
      </c>
      <c r="Q138" s="34">
        <f>IF(16&gt;=הנחות!D47,הנחות!B47*(1+הנחות!C47)^1,0)</f>
        <v>3150</v>
      </c>
      <c r="R138" s="34">
        <f>IF(17&gt;=הנחות!D47,הנחות!B47*(1+הנחות!C47)^1,0)</f>
        <v>3150</v>
      </c>
      <c r="S138" s="34">
        <f>IF(18&gt;=הנחות!D47,הנחות!B47*(1+הנחות!C47)^1,0)</f>
        <v>3150</v>
      </c>
      <c r="T138" s="34">
        <f>IF(19&gt;=הנחות!D47,הנחות!B47*(1+הנחות!C47)^1,0)</f>
        <v>3150</v>
      </c>
      <c r="U138" s="34">
        <f>IF(20&gt;=הנחות!D47,הנחות!B47*(1+הנחות!C47)^1,0)</f>
        <v>3150</v>
      </c>
      <c r="V138" s="34">
        <f>IF(21&gt;=הנחות!D47,הנחות!B47*(1+הנחות!C47)^1,0)</f>
        <v>3150</v>
      </c>
      <c r="W138" s="34">
        <f>IF(22&gt;=הנחות!D47,הנחות!B47*(1+הנחות!C47)^1,0)</f>
        <v>3150</v>
      </c>
      <c r="X138" s="34">
        <f>IF(23&gt;=הנחות!D47,הנחות!B47*(1+הנחות!C47)^1,0)</f>
        <v>3150</v>
      </c>
      <c r="Y138" s="34">
        <f>IF(24&gt;=הנחות!D47,הנחות!B47*(1+הנחות!C47)^1,0)</f>
        <v>3150</v>
      </c>
      <c r="Z138" s="34">
        <f>IF(25&gt;=הנחות!D47,הנחות!B47*(1+הנחות!C47)^2,0)</f>
        <v>3307.5</v>
      </c>
      <c r="AA138" s="34">
        <f>IF(26&gt;=הנחות!D47,הנחות!B47*(1+הנחות!C47)^2,0)</f>
        <v>3307.5</v>
      </c>
      <c r="AB138" s="34">
        <f>IF(27&gt;=הנחות!D47,הנחות!B47*(1+הנחות!C47)^2,0)</f>
        <v>3307.5</v>
      </c>
      <c r="AC138" s="34">
        <f>IF(28&gt;=הנחות!D47,הנחות!B47*(1+הנחות!C47)^2,0)</f>
        <v>3307.5</v>
      </c>
      <c r="AD138" s="34">
        <f>IF(29&gt;=הנחות!D47,הנחות!B47*(1+הנחות!C47)^2,0)</f>
        <v>3307.5</v>
      </c>
      <c r="AE138" s="34">
        <f>IF(30&gt;=הנחות!D47,הנחות!B47*(1+הנחות!C47)^2,0)</f>
        <v>3307.5</v>
      </c>
      <c r="AF138" s="34">
        <f>IF(31&gt;=הנחות!D47,הנחות!B47*(1+הנחות!C47)^2,0)</f>
        <v>3307.5</v>
      </c>
      <c r="AG138" s="34">
        <f>IF(32&gt;=הנחות!D47,הנחות!B47*(1+הנחות!C47)^2,0)</f>
        <v>3307.5</v>
      </c>
      <c r="AH138" s="34">
        <f>IF(33&gt;=הנחות!D47,הנחות!B47*(1+הנחות!C47)^2,0)</f>
        <v>3307.5</v>
      </c>
      <c r="AI138" s="34">
        <f>IF(34&gt;=הנחות!D47,הנחות!B47*(1+הנחות!C47)^2,0)</f>
        <v>3307.5</v>
      </c>
      <c r="AJ138" s="34">
        <f>IF(35&gt;=הנחות!D47,הנחות!B47*(1+הנחות!C47)^2,0)</f>
        <v>3307.5</v>
      </c>
      <c r="AK138" s="34">
        <f>IF(36&gt;=הנחות!D47,הנחות!B47*(1+הנחות!C47)^2,0)</f>
        <v>3307.5</v>
      </c>
      <c r="AL138" s="34">
        <f>IF(37&gt;=הנחות!D47,הנחות!B47*(1+הנחות!C47)^3,0)</f>
        <v>3472.8750000000005</v>
      </c>
      <c r="AM138" s="34">
        <f>IF(38&gt;=הנחות!D47,הנחות!B47*(1+הנחות!C47)^3,0)</f>
        <v>3472.8750000000005</v>
      </c>
      <c r="AN138" s="34">
        <f>IF(39&gt;=הנחות!D47,הנחות!B47*(1+הנחות!C47)^3,0)</f>
        <v>3472.8750000000005</v>
      </c>
      <c r="AO138" s="34">
        <f>IF(40&gt;=הנחות!D47,הנחות!B47*(1+הנחות!C47)^3,0)</f>
        <v>3472.8750000000005</v>
      </c>
      <c r="AP138" s="34">
        <f>IF(41&gt;=הנחות!D47,הנחות!B47*(1+הנחות!C47)^3,0)</f>
        <v>3472.8750000000005</v>
      </c>
      <c r="AQ138" s="34">
        <f>IF(42&gt;=הנחות!D47,הנחות!B47*(1+הנחות!C47)^3,0)</f>
        <v>3472.8750000000005</v>
      </c>
      <c r="AR138" s="34">
        <f>IF(43&gt;=הנחות!D47,הנחות!B47*(1+הנחות!C47)^3,0)</f>
        <v>3472.8750000000005</v>
      </c>
      <c r="AS138" s="34">
        <f>IF(44&gt;=הנחות!D47,הנחות!B47*(1+הנחות!C47)^3,0)</f>
        <v>3472.8750000000005</v>
      </c>
      <c r="AT138" s="34">
        <f>IF(45&gt;=הנחות!D47,הנחות!B47*(1+הנחות!C47)^3,0)</f>
        <v>3472.8750000000005</v>
      </c>
      <c r="AU138" s="34">
        <f>IF(46&gt;=הנחות!D47,הנחות!B47*(1+הנחות!C47)^3,0)</f>
        <v>3472.8750000000005</v>
      </c>
      <c r="AV138" s="34">
        <f>IF(47&gt;=הנחות!D47,הנחות!B47*(1+הנחות!C47)^3,0)</f>
        <v>3472.8750000000005</v>
      </c>
      <c r="AW138" s="34">
        <f>IF(48&gt;=הנחות!D47,הנחות!B47*(1+הנחות!C47)^3,0)</f>
        <v>3472.8750000000005</v>
      </c>
      <c r="AX138" s="34">
        <f>IF(49&gt;=הנחות!D47,הנחות!B47*(1+הנחות!C47)^4,0)</f>
        <v>3646.5187500000002</v>
      </c>
      <c r="AY138" s="34">
        <f>IF(50&gt;=הנחות!D47,הנחות!B47*(1+הנחות!C47)^4,0)</f>
        <v>3646.5187500000002</v>
      </c>
      <c r="AZ138" s="34">
        <f>IF(51&gt;=הנחות!D47,הנחות!B47*(1+הנחות!C47)^4,0)</f>
        <v>3646.5187500000002</v>
      </c>
      <c r="BA138" s="34">
        <f>IF(52&gt;=הנחות!D47,הנחות!B47*(1+הנחות!C47)^4,0)</f>
        <v>3646.5187500000002</v>
      </c>
      <c r="BB138" s="34">
        <f>IF(53&gt;=הנחות!D47,הנחות!B47*(1+הנחות!C47)^4,0)</f>
        <v>3646.5187500000002</v>
      </c>
      <c r="BC138" s="34">
        <f>IF(54&gt;=הנחות!D47,הנחות!B47*(1+הנחות!C47)^4,0)</f>
        <v>3646.5187500000002</v>
      </c>
      <c r="BD138" s="34">
        <f>IF(55&gt;=הנחות!D47,הנחות!B47*(1+הנחות!C47)^4,0)</f>
        <v>3646.5187500000002</v>
      </c>
      <c r="BE138" s="34">
        <f>IF(56&gt;=הנחות!D47,הנחות!B47*(1+הנחות!C47)^4,0)</f>
        <v>3646.5187500000002</v>
      </c>
      <c r="BF138" s="34">
        <f>IF(57&gt;=הנחות!D47,הנחות!B47*(1+הנחות!C47)^4,0)</f>
        <v>3646.5187500000002</v>
      </c>
      <c r="BG138" s="34">
        <f>IF(58&gt;=הנחות!D47,הנחות!B47*(1+הנחות!C47)^4,0)</f>
        <v>3646.5187500000002</v>
      </c>
      <c r="BH138" s="34">
        <f>IF(59&gt;=הנחות!D47,הנחות!B47*(1+הנחות!C47)^4,0)</f>
        <v>3646.5187500000002</v>
      </c>
      <c r="BI138" s="34">
        <f>IF(60&gt;=הנחות!D47,הנחות!B47*(1+הנחות!C47)^4,0)</f>
        <v>3646.5187500000002</v>
      </c>
    </row>
    <row r="139" spans="1:61" x14ac:dyDescent="0.25">
      <c r="A139" s="31" t="s">
        <v>267</v>
      </c>
      <c r="B139" s="34">
        <f>IF(1&gt;=הנחות!D48,הנחות!B48*(1+הנחות!C48)^0,0)</f>
        <v>2000</v>
      </c>
      <c r="C139" s="34">
        <f>IF(2&gt;=הנחות!D48,הנחות!B48*(1+הנחות!C48)^0,0)</f>
        <v>2000</v>
      </c>
      <c r="D139" s="34">
        <f>IF(3&gt;=הנחות!D48,הנחות!B48*(1+הנחות!C48)^0,0)</f>
        <v>2000</v>
      </c>
      <c r="E139" s="34">
        <f>IF(4&gt;=הנחות!D48,הנחות!B48*(1+הנחות!C48)^0,0)</f>
        <v>2000</v>
      </c>
      <c r="F139" s="34">
        <f>IF(5&gt;=הנחות!D48,הנחות!B48*(1+הנחות!C48)^0,0)</f>
        <v>2000</v>
      </c>
      <c r="G139" s="34">
        <f>IF(6&gt;=הנחות!D48,הנחות!B48*(1+הנחות!C48)^0,0)</f>
        <v>2000</v>
      </c>
      <c r="H139" s="34">
        <f>IF(7&gt;=הנחות!D48,הנחות!B48*(1+הנחות!C48)^0,0)</f>
        <v>2000</v>
      </c>
      <c r="I139" s="34">
        <f>IF(8&gt;=הנחות!D48,הנחות!B48*(1+הנחות!C48)^0,0)</f>
        <v>2000</v>
      </c>
      <c r="J139" s="34">
        <f>IF(9&gt;=הנחות!D48,הנחות!B48*(1+הנחות!C48)^0,0)</f>
        <v>2000</v>
      </c>
      <c r="K139" s="34">
        <f>IF(10&gt;=הנחות!D48,הנחות!B48*(1+הנחות!C48)^0,0)</f>
        <v>2000</v>
      </c>
      <c r="L139" s="34">
        <f>IF(11&gt;=הנחות!D48,הנחות!B48*(1+הנחות!C48)^0,0)</f>
        <v>2000</v>
      </c>
      <c r="M139" s="34">
        <f>IF(12&gt;=הנחות!D48,הנחות!B48*(1+הנחות!C48)^0,0)</f>
        <v>2000</v>
      </c>
      <c r="N139" s="34">
        <f>IF(13&gt;=הנחות!D48,הנחות!B48*(1+הנחות!C48)^1,0)</f>
        <v>2100</v>
      </c>
      <c r="O139" s="34">
        <f>IF(14&gt;=הנחות!D48,הנחות!B48*(1+הנחות!C48)^1,0)</f>
        <v>2100</v>
      </c>
      <c r="P139" s="34">
        <f>IF(15&gt;=הנחות!D48,הנחות!B48*(1+הנחות!C48)^1,0)</f>
        <v>2100</v>
      </c>
      <c r="Q139" s="34">
        <f>IF(16&gt;=הנחות!D48,הנחות!B48*(1+הנחות!C48)^1,0)</f>
        <v>2100</v>
      </c>
      <c r="R139" s="34">
        <f>IF(17&gt;=הנחות!D48,הנחות!B48*(1+הנחות!C48)^1,0)</f>
        <v>2100</v>
      </c>
      <c r="S139" s="34">
        <f>IF(18&gt;=הנחות!D48,הנחות!B48*(1+הנחות!C48)^1,0)</f>
        <v>2100</v>
      </c>
      <c r="T139" s="34">
        <f>IF(19&gt;=הנחות!D48,הנחות!B48*(1+הנחות!C48)^1,0)</f>
        <v>2100</v>
      </c>
      <c r="U139" s="34">
        <f>IF(20&gt;=הנחות!D48,הנחות!B48*(1+הנחות!C48)^1,0)</f>
        <v>2100</v>
      </c>
      <c r="V139" s="34">
        <f>IF(21&gt;=הנחות!D48,הנחות!B48*(1+הנחות!C48)^1,0)</f>
        <v>2100</v>
      </c>
      <c r="W139" s="34">
        <f>IF(22&gt;=הנחות!D48,הנחות!B48*(1+הנחות!C48)^1,0)</f>
        <v>2100</v>
      </c>
      <c r="X139" s="34">
        <f>IF(23&gt;=הנחות!D48,הנחות!B48*(1+הנחות!C48)^1,0)</f>
        <v>2100</v>
      </c>
      <c r="Y139" s="34">
        <f>IF(24&gt;=הנחות!D48,הנחות!B48*(1+הנחות!C48)^1,0)</f>
        <v>2100</v>
      </c>
      <c r="Z139" s="34">
        <f>IF(25&gt;=הנחות!D48,הנחות!B48*(1+הנחות!C48)^2,0)</f>
        <v>2205</v>
      </c>
      <c r="AA139" s="34">
        <f>IF(26&gt;=הנחות!D48,הנחות!B48*(1+הנחות!C48)^2,0)</f>
        <v>2205</v>
      </c>
      <c r="AB139" s="34">
        <f>IF(27&gt;=הנחות!D48,הנחות!B48*(1+הנחות!C48)^2,0)</f>
        <v>2205</v>
      </c>
      <c r="AC139" s="34">
        <f>IF(28&gt;=הנחות!D48,הנחות!B48*(1+הנחות!C48)^2,0)</f>
        <v>2205</v>
      </c>
      <c r="AD139" s="34">
        <f>IF(29&gt;=הנחות!D48,הנחות!B48*(1+הנחות!C48)^2,0)</f>
        <v>2205</v>
      </c>
      <c r="AE139" s="34">
        <f>IF(30&gt;=הנחות!D48,הנחות!B48*(1+הנחות!C48)^2,0)</f>
        <v>2205</v>
      </c>
      <c r="AF139" s="34">
        <f>IF(31&gt;=הנחות!D48,הנחות!B48*(1+הנחות!C48)^2,0)</f>
        <v>2205</v>
      </c>
      <c r="AG139" s="34">
        <f>IF(32&gt;=הנחות!D48,הנחות!B48*(1+הנחות!C48)^2,0)</f>
        <v>2205</v>
      </c>
      <c r="AH139" s="34">
        <f>IF(33&gt;=הנחות!D48,הנחות!B48*(1+הנחות!C48)^2,0)</f>
        <v>2205</v>
      </c>
      <c r="AI139" s="34">
        <f>IF(34&gt;=הנחות!D48,הנחות!B48*(1+הנחות!C48)^2,0)</f>
        <v>2205</v>
      </c>
      <c r="AJ139" s="34">
        <f>IF(35&gt;=הנחות!D48,הנחות!B48*(1+הנחות!C48)^2,0)</f>
        <v>2205</v>
      </c>
      <c r="AK139" s="34">
        <f>IF(36&gt;=הנחות!D48,הנחות!B48*(1+הנחות!C48)^2,0)</f>
        <v>2205</v>
      </c>
      <c r="AL139" s="34">
        <f>IF(37&gt;=הנחות!D48,הנחות!B48*(1+הנחות!C48)^3,0)</f>
        <v>2315.2500000000005</v>
      </c>
      <c r="AM139" s="34">
        <f>IF(38&gt;=הנחות!D48,הנחות!B48*(1+הנחות!C48)^3,0)</f>
        <v>2315.2500000000005</v>
      </c>
      <c r="AN139" s="34">
        <f>IF(39&gt;=הנחות!D48,הנחות!B48*(1+הנחות!C48)^3,0)</f>
        <v>2315.2500000000005</v>
      </c>
      <c r="AO139" s="34">
        <f>IF(40&gt;=הנחות!D48,הנחות!B48*(1+הנחות!C48)^3,0)</f>
        <v>2315.2500000000005</v>
      </c>
      <c r="AP139" s="34">
        <f>IF(41&gt;=הנחות!D48,הנחות!B48*(1+הנחות!C48)^3,0)</f>
        <v>2315.2500000000005</v>
      </c>
      <c r="AQ139" s="34">
        <f>IF(42&gt;=הנחות!D48,הנחות!B48*(1+הנחות!C48)^3,0)</f>
        <v>2315.2500000000005</v>
      </c>
      <c r="AR139" s="34">
        <f>IF(43&gt;=הנחות!D48,הנחות!B48*(1+הנחות!C48)^3,0)</f>
        <v>2315.2500000000005</v>
      </c>
      <c r="AS139" s="34">
        <f>IF(44&gt;=הנחות!D48,הנחות!B48*(1+הנחות!C48)^3,0)</f>
        <v>2315.2500000000005</v>
      </c>
      <c r="AT139" s="34">
        <f>IF(45&gt;=הנחות!D48,הנחות!B48*(1+הנחות!C48)^3,0)</f>
        <v>2315.2500000000005</v>
      </c>
      <c r="AU139" s="34">
        <f>IF(46&gt;=הנחות!D48,הנחות!B48*(1+הנחות!C48)^3,0)</f>
        <v>2315.2500000000005</v>
      </c>
      <c r="AV139" s="34">
        <f>IF(47&gt;=הנחות!D48,הנחות!B48*(1+הנחות!C48)^3,0)</f>
        <v>2315.2500000000005</v>
      </c>
      <c r="AW139" s="34">
        <f>IF(48&gt;=הנחות!D48,הנחות!B48*(1+הנחות!C48)^3,0)</f>
        <v>2315.2500000000005</v>
      </c>
      <c r="AX139" s="34">
        <f>IF(49&gt;=הנחות!D48,הנחות!B48*(1+הנחות!C48)^4,0)</f>
        <v>2431.0124999999998</v>
      </c>
      <c r="AY139" s="34">
        <f>IF(50&gt;=הנחות!D48,הנחות!B48*(1+הנחות!C48)^4,0)</f>
        <v>2431.0124999999998</v>
      </c>
      <c r="AZ139" s="34">
        <f>IF(51&gt;=הנחות!D48,הנחות!B48*(1+הנחות!C48)^4,0)</f>
        <v>2431.0124999999998</v>
      </c>
      <c r="BA139" s="34">
        <f>IF(52&gt;=הנחות!D48,הנחות!B48*(1+הנחות!C48)^4,0)</f>
        <v>2431.0124999999998</v>
      </c>
      <c r="BB139" s="34">
        <f>IF(53&gt;=הנחות!D48,הנחות!B48*(1+הנחות!C48)^4,0)</f>
        <v>2431.0124999999998</v>
      </c>
      <c r="BC139" s="34">
        <f>IF(54&gt;=הנחות!D48,הנחות!B48*(1+הנחות!C48)^4,0)</f>
        <v>2431.0124999999998</v>
      </c>
      <c r="BD139" s="34">
        <f>IF(55&gt;=הנחות!D48,הנחות!B48*(1+הנחות!C48)^4,0)</f>
        <v>2431.0124999999998</v>
      </c>
      <c r="BE139" s="34">
        <f>IF(56&gt;=הנחות!D48,הנחות!B48*(1+הנחות!C48)^4,0)</f>
        <v>2431.0124999999998</v>
      </c>
      <c r="BF139" s="34">
        <f>IF(57&gt;=הנחות!D48,הנחות!B48*(1+הנחות!C48)^4,0)</f>
        <v>2431.0124999999998</v>
      </c>
      <c r="BG139" s="34">
        <f>IF(58&gt;=הנחות!D48,הנחות!B48*(1+הנחות!C48)^4,0)</f>
        <v>2431.0124999999998</v>
      </c>
      <c r="BH139" s="34">
        <f>IF(59&gt;=הנחות!D48,הנחות!B48*(1+הנחות!C48)^4,0)</f>
        <v>2431.0124999999998</v>
      </c>
      <c r="BI139" s="34">
        <f>IF(60&gt;=הנחות!D48,הנחות!B48*(1+הנחות!C48)^4,0)</f>
        <v>2431.0124999999998</v>
      </c>
    </row>
    <row r="140" spans="1:61" x14ac:dyDescent="0.25">
      <c r="A140" s="31" t="s">
        <v>268</v>
      </c>
      <c r="B140" s="34">
        <f>IF(1&gt;=הנחות!D49,הנחות!B49*(1+הנחות!C49)^0,0)</f>
        <v>7500</v>
      </c>
      <c r="C140" s="34">
        <f>IF(2&gt;=הנחות!D49,הנחות!B49*(1+הנחות!C49)^0,0)</f>
        <v>7500</v>
      </c>
      <c r="D140" s="34">
        <f>IF(3&gt;=הנחות!D49,הנחות!B49*(1+הנחות!C49)^0,0)</f>
        <v>7500</v>
      </c>
      <c r="E140" s="34">
        <f>IF(4&gt;=הנחות!D49,הנחות!B49*(1+הנחות!C49)^0,0)</f>
        <v>7500</v>
      </c>
      <c r="F140" s="34">
        <f>IF(5&gt;=הנחות!D49,הנחות!B49*(1+הנחות!C49)^0,0)</f>
        <v>7500</v>
      </c>
      <c r="G140" s="34">
        <f>IF(6&gt;=הנחות!D49,הנחות!B49*(1+הנחות!C49)^0,0)</f>
        <v>7500</v>
      </c>
      <c r="H140" s="34">
        <f>IF(7&gt;=הנחות!D49,הנחות!B49*(1+הנחות!C49)^0,0)</f>
        <v>7500</v>
      </c>
      <c r="I140" s="34">
        <f>IF(8&gt;=הנחות!D49,הנחות!B49*(1+הנחות!C49)^0,0)</f>
        <v>7500</v>
      </c>
      <c r="J140" s="34">
        <f>IF(9&gt;=הנחות!D49,הנחות!B49*(1+הנחות!C49)^0,0)</f>
        <v>7500</v>
      </c>
      <c r="K140" s="34">
        <f>IF(10&gt;=הנחות!D49,הנחות!B49*(1+הנחות!C49)^0,0)</f>
        <v>7500</v>
      </c>
      <c r="L140" s="34">
        <f>IF(11&gt;=הנחות!D49,הנחות!B49*(1+הנחות!C49)^0,0)</f>
        <v>7500</v>
      </c>
      <c r="M140" s="34">
        <f>IF(12&gt;=הנחות!D49,הנחות!B49*(1+הנחות!C49)^0,0)</f>
        <v>7500</v>
      </c>
      <c r="N140" s="34">
        <f>IF(13&gt;=הנחות!D49,הנחות!B49*(1+הנחות!C49)^1,0)</f>
        <v>7875</v>
      </c>
      <c r="O140" s="34">
        <f>IF(14&gt;=הנחות!D49,הנחות!B49*(1+הנחות!C49)^1,0)</f>
        <v>7875</v>
      </c>
      <c r="P140" s="34">
        <f>IF(15&gt;=הנחות!D49,הנחות!B49*(1+הנחות!C49)^1,0)</f>
        <v>7875</v>
      </c>
      <c r="Q140" s="34">
        <f>IF(16&gt;=הנחות!D49,הנחות!B49*(1+הנחות!C49)^1,0)</f>
        <v>7875</v>
      </c>
      <c r="R140" s="34">
        <f>IF(17&gt;=הנחות!D49,הנחות!B49*(1+הנחות!C49)^1,0)</f>
        <v>7875</v>
      </c>
      <c r="S140" s="34">
        <f>IF(18&gt;=הנחות!D49,הנחות!B49*(1+הנחות!C49)^1,0)</f>
        <v>7875</v>
      </c>
      <c r="T140" s="34">
        <f>IF(19&gt;=הנחות!D49,הנחות!B49*(1+הנחות!C49)^1,0)</f>
        <v>7875</v>
      </c>
      <c r="U140" s="34">
        <f>IF(20&gt;=הנחות!D49,הנחות!B49*(1+הנחות!C49)^1,0)</f>
        <v>7875</v>
      </c>
      <c r="V140" s="34">
        <f>IF(21&gt;=הנחות!D49,הנחות!B49*(1+הנחות!C49)^1,0)</f>
        <v>7875</v>
      </c>
      <c r="W140" s="34">
        <f>IF(22&gt;=הנחות!D49,הנחות!B49*(1+הנחות!C49)^1,0)</f>
        <v>7875</v>
      </c>
      <c r="X140" s="34">
        <f>IF(23&gt;=הנחות!D49,הנחות!B49*(1+הנחות!C49)^1,0)</f>
        <v>7875</v>
      </c>
      <c r="Y140" s="34">
        <f>IF(24&gt;=הנחות!D49,הנחות!B49*(1+הנחות!C49)^1,0)</f>
        <v>7875</v>
      </c>
      <c r="Z140" s="34">
        <f>IF(25&gt;=הנחות!D49,הנחות!B49*(1+הנחות!C49)^2,0)</f>
        <v>8268.75</v>
      </c>
      <c r="AA140" s="34">
        <f>IF(26&gt;=הנחות!D49,הנחות!B49*(1+הנחות!C49)^2,0)</f>
        <v>8268.75</v>
      </c>
      <c r="AB140" s="34">
        <f>IF(27&gt;=הנחות!D49,הנחות!B49*(1+הנחות!C49)^2,0)</f>
        <v>8268.75</v>
      </c>
      <c r="AC140" s="34">
        <f>IF(28&gt;=הנחות!D49,הנחות!B49*(1+הנחות!C49)^2,0)</f>
        <v>8268.75</v>
      </c>
      <c r="AD140" s="34">
        <f>IF(29&gt;=הנחות!D49,הנחות!B49*(1+הנחות!C49)^2,0)</f>
        <v>8268.75</v>
      </c>
      <c r="AE140" s="34">
        <f>IF(30&gt;=הנחות!D49,הנחות!B49*(1+הנחות!C49)^2,0)</f>
        <v>8268.75</v>
      </c>
      <c r="AF140" s="34">
        <f>IF(31&gt;=הנחות!D49,הנחות!B49*(1+הנחות!C49)^2,0)</f>
        <v>8268.75</v>
      </c>
      <c r="AG140" s="34">
        <f>IF(32&gt;=הנחות!D49,הנחות!B49*(1+הנחות!C49)^2,0)</f>
        <v>8268.75</v>
      </c>
      <c r="AH140" s="34">
        <f>IF(33&gt;=הנחות!D49,הנחות!B49*(1+הנחות!C49)^2,0)</f>
        <v>8268.75</v>
      </c>
      <c r="AI140" s="34">
        <f>IF(34&gt;=הנחות!D49,הנחות!B49*(1+הנחות!C49)^2,0)</f>
        <v>8268.75</v>
      </c>
      <c r="AJ140" s="34">
        <f>IF(35&gt;=הנחות!D49,הנחות!B49*(1+הנחות!C49)^2,0)</f>
        <v>8268.75</v>
      </c>
      <c r="AK140" s="34">
        <f>IF(36&gt;=הנחות!D49,הנחות!B49*(1+הנחות!C49)^2,0)</f>
        <v>8268.75</v>
      </c>
      <c r="AL140" s="34">
        <f>IF(37&gt;=הנחות!D49,הנחות!B49*(1+הנחות!C49)^3,0)</f>
        <v>8682.1875000000018</v>
      </c>
      <c r="AM140" s="34">
        <f>IF(38&gt;=הנחות!D49,הנחות!B49*(1+הנחות!C49)^3,0)</f>
        <v>8682.1875000000018</v>
      </c>
      <c r="AN140" s="34">
        <f>IF(39&gt;=הנחות!D49,הנחות!B49*(1+הנחות!C49)^3,0)</f>
        <v>8682.1875000000018</v>
      </c>
      <c r="AO140" s="34">
        <f>IF(40&gt;=הנחות!D49,הנחות!B49*(1+הנחות!C49)^3,0)</f>
        <v>8682.1875000000018</v>
      </c>
      <c r="AP140" s="34">
        <f>IF(41&gt;=הנחות!D49,הנחות!B49*(1+הנחות!C49)^3,0)</f>
        <v>8682.1875000000018</v>
      </c>
      <c r="AQ140" s="34">
        <f>IF(42&gt;=הנחות!D49,הנחות!B49*(1+הנחות!C49)^3,0)</f>
        <v>8682.1875000000018</v>
      </c>
      <c r="AR140" s="34">
        <f>IF(43&gt;=הנחות!D49,הנחות!B49*(1+הנחות!C49)^3,0)</f>
        <v>8682.1875000000018</v>
      </c>
      <c r="AS140" s="34">
        <f>IF(44&gt;=הנחות!D49,הנחות!B49*(1+הנחות!C49)^3,0)</f>
        <v>8682.1875000000018</v>
      </c>
      <c r="AT140" s="34">
        <f>IF(45&gt;=הנחות!D49,הנחות!B49*(1+הנחות!C49)^3,0)</f>
        <v>8682.1875000000018</v>
      </c>
      <c r="AU140" s="34">
        <f>IF(46&gt;=הנחות!D49,הנחות!B49*(1+הנחות!C49)^3,0)</f>
        <v>8682.1875000000018</v>
      </c>
      <c r="AV140" s="34">
        <f>IF(47&gt;=הנחות!D49,הנחות!B49*(1+הנחות!C49)^3,0)</f>
        <v>8682.1875000000018</v>
      </c>
      <c r="AW140" s="34">
        <f>IF(48&gt;=הנחות!D49,הנחות!B49*(1+הנחות!C49)^3,0)</f>
        <v>8682.1875000000018</v>
      </c>
      <c r="AX140" s="34">
        <f>IF(49&gt;=הנחות!D49,הנחות!B49*(1+הנחות!C49)^4,0)</f>
        <v>9116.296875</v>
      </c>
      <c r="AY140" s="34">
        <f>IF(50&gt;=הנחות!D49,הנחות!B49*(1+הנחות!C49)^4,0)</f>
        <v>9116.296875</v>
      </c>
      <c r="AZ140" s="34">
        <f>IF(51&gt;=הנחות!D49,הנחות!B49*(1+הנחות!C49)^4,0)</f>
        <v>9116.296875</v>
      </c>
      <c r="BA140" s="34">
        <f>IF(52&gt;=הנחות!D49,הנחות!B49*(1+הנחות!C49)^4,0)</f>
        <v>9116.296875</v>
      </c>
      <c r="BB140" s="34">
        <f>IF(53&gt;=הנחות!D49,הנחות!B49*(1+הנחות!C49)^4,0)</f>
        <v>9116.296875</v>
      </c>
      <c r="BC140" s="34">
        <f>IF(54&gt;=הנחות!D49,הנחות!B49*(1+הנחות!C49)^4,0)</f>
        <v>9116.296875</v>
      </c>
      <c r="BD140" s="34">
        <f>IF(55&gt;=הנחות!D49,הנחות!B49*(1+הנחות!C49)^4,0)</f>
        <v>9116.296875</v>
      </c>
      <c r="BE140" s="34">
        <f>IF(56&gt;=הנחות!D49,הנחות!B49*(1+הנחות!C49)^4,0)</f>
        <v>9116.296875</v>
      </c>
      <c r="BF140" s="34">
        <f>IF(57&gt;=הנחות!D49,הנחות!B49*(1+הנחות!C49)^4,0)</f>
        <v>9116.296875</v>
      </c>
      <c r="BG140" s="34">
        <f>IF(58&gt;=הנחות!D49,הנחות!B49*(1+הנחות!C49)^4,0)</f>
        <v>9116.296875</v>
      </c>
      <c r="BH140" s="34">
        <f>IF(59&gt;=הנחות!D49,הנחות!B49*(1+הנחות!C49)^4,0)</f>
        <v>9116.296875</v>
      </c>
      <c r="BI140" s="34">
        <f>IF(60&gt;=הנחות!D49,הנחות!B49*(1+הנחות!C49)^4,0)</f>
        <v>9116.296875</v>
      </c>
    </row>
    <row r="141" spans="1:61" x14ac:dyDescent="0.25">
      <c r="A141" s="31" t="s">
        <v>269</v>
      </c>
      <c r="B141" s="34">
        <f>IF(1&gt;=הנחות!D50,הנחות!B50*(1+הנחות!C50)^0,0)</f>
        <v>2500</v>
      </c>
      <c r="C141" s="34">
        <f>IF(2&gt;=הנחות!D50,הנחות!B50*(1+הנחות!C50)^0,0)</f>
        <v>2500</v>
      </c>
      <c r="D141" s="34">
        <f>IF(3&gt;=הנחות!D50,הנחות!B50*(1+הנחות!C50)^0,0)</f>
        <v>2500</v>
      </c>
      <c r="E141" s="34">
        <f>IF(4&gt;=הנחות!D50,הנחות!B50*(1+הנחות!C50)^0,0)</f>
        <v>2500</v>
      </c>
      <c r="F141" s="34">
        <f>IF(5&gt;=הנחות!D50,הנחות!B50*(1+הנחות!C50)^0,0)</f>
        <v>2500</v>
      </c>
      <c r="G141" s="34">
        <f>IF(6&gt;=הנחות!D50,הנחות!B50*(1+הנחות!C50)^0,0)</f>
        <v>2500</v>
      </c>
      <c r="H141" s="34">
        <f>IF(7&gt;=הנחות!D50,הנחות!B50*(1+הנחות!C50)^0,0)</f>
        <v>2500</v>
      </c>
      <c r="I141" s="34">
        <f>IF(8&gt;=הנחות!D50,הנחות!B50*(1+הנחות!C50)^0,0)</f>
        <v>2500</v>
      </c>
      <c r="J141" s="34">
        <f>IF(9&gt;=הנחות!D50,הנחות!B50*(1+הנחות!C50)^0,0)</f>
        <v>2500</v>
      </c>
      <c r="K141" s="34">
        <f>IF(10&gt;=הנחות!D50,הנחות!B50*(1+הנחות!C50)^0,0)</f>
        <v>2500</v>
      </c>
      <c r="L141" s="34">
        <f>IF(11&gt;=הנחות!D50,הנחות!B50*(1+הנחות!C50)^0,0)</f>
        <v>2500</v>
      </c>
      <c r="M141" s="34">
        <f>IF(12&gt;=הנחות!D50,הנחות!B50*(1+הנחות!C50)^0,0)</f>
        <v>2500</v>
      </c>
      <c r="N141" s="34">
        <f>IF(13&gt;=הנחות!D50,הנחות!B50*(1+הנחות!C50)^1,0)</f>
        <v>2750</v>
      </c>
      <c r="O141" s="34">
        <f>IF(14&gt;=הנחות!D50,הנחות!B50*(1+הנחות!C50)^1,0)</f>
        <v>2750</v>
      </c>
      <c r="P141" s="34">
        <f>IF(15&gt;=הנחות!D50,הנחות!B50*(1+הנחות!C50)^1,0)</f>
        <v>2750</v>
      </c>
      <c r="Q141" s="34">
        <f>IF(16&gt;=הנחות!D50,הנחות!B50*(1+הנחות!C50)^1,0)</f>
        <v>2750</v>
      </c>
      <c r="R141" s="34">
        <f>IF(17&gt;=הנחות!D50,הנחות!B50*(1+הנחות!C50)^1,0)</f>
        <v>2750</v>
      </c>
      <c r="S141" s="34">
        <f>IF(18&gt;=הנחות!D50,הנחות!B50*(1+הנחות!C50)^1,0)</f>
        <v>2750</v>
      </c>
      <c r="T141" s="34">
        <f>IF(19&gt;=הנחות!D50,הנחות!B50*(1+הנחות!C50)^1,0)</f>
        <v>2750</v>
      </c>
      <c r="U141" s="34">
        <f>IF(20&gt;=הנחות!D50,הנחות!B50*(1+הנחות!C50)^1,0)</f>
        <v>2750</v>
      </c>
      <c r="V141" s="34">
        <f>IF(21&gt;=הנחות!D50,הנחות!B50*(1+הנחות!C50)^1,0)</f>
        <v>2750</v>
      </c>
      <c r="W141" s="34">
        <f>IF(22&gt;=הנחות!D50,הנחות!B50*(1+הנחות!C50)^1,0)</f>
        <v>2750</v>
      </c>
      <c r="X141" s="34">
        <f>IF(23&gt;=הנחות!D50,הנחות!B50*(1+הנחות!C50)^1,0)</f>
        <v>2750</v>
      </c>
      <c r="Y141" s="34">
        <f>IF(24&gt;=הנחות!D50,הנחות!B50*(1+הנחות!C50)^1,0)</f>
        <v>2750</v>
      </c>
      <c r="Z141" s="34">
        <f>IF(25&gt;=הנחות!D50,הנחות!B50*(1+הנחות!C50)^2,0)</f>
        <v>3025.0000000000005</v>
      </c>
      <c r="AA141" s="34">
        <f>IF(26&gt;=הנחות!D50,הנחות!B50*(1+הנחות!C50)^2,0)</f>
        <v>3025.0000000000005</v>
      </c>
      <c r="AB141" s="34">
        <f>IF(27&gt;=הנחות!D50,הנחות!B50*(1+הנחות!C50)^2,0)</f>
        <v>3025.0000000000005</v>
      </c>
      <c r="AC141" s="34">
        <f>IF(28&gt;=הנחות!D50,הנחות!B50*(1+הנחות!C50)^2,0)</f>
        <v>3025.0000000000005</v>
      </c>
      <c r="AD141" s="34">
        <f>IF(29&gt;=הנחות!D50,הנחות!B50*(1+הנחות!C50)^2,0)</f>
        <v>3025.0000000000005</v>
      </c>
      <c r="AE141" s="34">
        <f>IF(30&gt;=הנחות!D50,הנחות!B50*(1+הנחות!C50)^2,0)</f>
        <v>3025.0000000000005</v>
      </c>
      <c r="AF141" s="34">
        <f>IF(31&gt;=הנחות!D50,הנחות!B50*(1+הנחות!C50)^2,0)</f>
        <v>3025.0000000000005</v>
      </c>
      <c r="AG141" s="34">
        <f>IF(32&gt;=הנחות!D50,הנחות!B50*(1+הנחות!C50)^2,0)</f>
        <v>3025.0000000000005</v>
      </c>
      <c r="AH141" s="34">
        <f>IF(33&gt;=הנחות!D50,הנחות!B50*(1+הנחות!C50)^2,0)</f>
        <v>3025.0000000000005</v>
      </c>
      <c r="AI141" s="34">
        <f>IF(34&gt;=הנחות!D50,הנחות!B50*(1+הנחות!C50)^2,0)</f>
        <v>3025.0000000000005</v>
      </c>
      <c r="AJ141" s="34">
        <f>IF(35&gt;=הנחות!D50,הנחות!B50*(1+הנחות!C50)^2,0)</f>
        <v>3025.0000000000005</v>
      </c>
      <c r="AK141" s="34">
        <f>IF(36&gt;=הנחות!D50,הנחות!B50*(1+הנחות!C50)^2,0)</f>
        <v>3025.0000000000005</v>
      </c>
      <c r="AL141" s="34">
        <f>IF(37&gt;=הנחות!D50,הנחות!B50*(1+הנחות!C50)^3,0)</f>
        <v>3327.5000000000009</v>
      </c>
      <c r="AM141" s="34">
        <f>IF(38&gt;=הנחות!D50,הנחות!B50*(1+הנחות!C50)^3,0)</f>
        <v>3327.5000000000009</v>
      </c>
      <c r="AN141" s="34">
        <f>IF(39&gt;=הנחות!D50,הנחות!B50*(1+הנחות!C50)^3,0)</f>
        <v>3327.5000000000009</v>
      </c>
      <c r="AO141" s="34">
        <f>IF(40&gt;=הנחות!D50,הנחות!B50*(1+הנחות!C50)^3,0)</f>
        <v>3327.5000000000009</v>
      </c>
      <c r="AP141" s="34">
        <f>IF(41&gt;=הנחות!D50,הנחות!B50*(1+הנחות!C50)^3,0)</f>
        <v>3327.5000000000009</v>
      </c>
      <c r="AQ141" s="34">
        <f>IF(42&gt;=הנחות!D50,הנחות!B50*(1+הנחות!C50)^3,0)</f>
        <v>3327.5000000000009</v>
      </c>
      <c r="AR141" s="34">
        <f>IF(43&gt;=הנחות!D50,הנחות!B50*(1+הנחות!C50)^3,0)</f>
        <v>3327.5000000000009</v>
      </c>
      <c r="AS141" s="34">
        <f>IF(44&gt;=הנחות!D50,הנחות!B50*(1+הנחות!C50)^3,0)</f>
        <v>3327.5000000000009</v>
      </c>
      <c r="AT141" s="34">
        <f>IF(45&gt;=הנחות!D50,הנחות!B50*(1+הנחות!C50)^3,0)</f>
        <v>3327.5000000000009</v>
      </c>
      <c r="AU141" s="34">
        <f>IF(46&gt;=הנחות!D50,הנחות!B50*(1+הנחות!C50)^3,0)</f>
        <v>3327.5000000000009</v>
      </c>
      <c r="AV141" s="34">
        <f>IF(47&gt;=הנחות!D50,הנחות!B50*(1+הנחות!C50)^3,0)</f>
        <v>3327.5000000000009</v>
      </c>
      <c r="AW141" s="34">
        <f>IF(48&gt;=הנחות!D50,הנחות!B50*(1+הנחות!C50)^3,0)</f>
        <v>3327.5000000000009</v>
      </c>
      <c r="AX141" s="34">
        <f>IF(49&gt;=הנחות!D50,הנחות!B50*(1+הנחות!C50)^4,0)</f>
        <v>3660.2500000000009</v>
      </c>
      <c r="AY141" s="34">
        <f>IF(50&gt;=הנחות!D50,הנחות!B50*(1+הנחות!C50)^4,0)</f>
        <v>3660.2500000000009</v>
      </c>
      <c r="AZ141" s="34">
        <f>IF(51&gt;=הנחות!D50,הנחות!B50*(1+הנחות!C50)^4,0)</f>
        <v>3660.2500000000009</v>
      </c>
      <c r="BA141" s="34">
        <f>IF(52&gt;=הנחות!D50,הנחות!B50*(1+הנחות!C50)^4,0)</f>
        <v>3660.2500000000009</v>
      </c>
      <c r="BB141" s="34">
        <f>IF(53&gt;=הנחות!D50,הנחות!B50*(1+הנחות!C50)^4,0)</f>
        <v>3660.2500000000009</v>
      </c>
      <c r="BC141" s="34">
        <f>IF(54&gt;=הנחות!D50,הנחות!B50*(1+הנחות!C50)^4,0)</f>
        <v>3660.2500000000009</v>
      </c>
      <c r="BD141" s="34">
        <f>IF(55&gt;=הנחות!D50,הנחות!B50*(1+הנחות!C50)^4,0)</f>
        <v>3660.2500000000009</v>
      </c>
      <c r="BE141" s="34">
        <f>IF(56&gt;=הנחות!D50,הנחות!B50*(1+הנחות!C50)^4,0)</f>
        <v>3660.2500000000009</v>
      </c>
      <c r="BF141" s="34">
        <f>IF(57&gt;=הנחות!D50,הנחות!B50*(1+הנחות!C50)^4,0)</f>
        <v>3660.2500000000009</v>
      </c>
      <c r="BG141" s="34">
        <f>IF(58&gt;=הנחות!D50,הנחות!B50*(1+הנחות!C50)^4,0)</f>
        <v>3660.2500000000009</v>
      </c>
      <c r="BH141" s="34">
        <f>IF(59&gt;=הנחות!D50,הנחות!B50*(1+הנחות!C50)^4,0)</f>
        <v>3660.2500000000009</v>
      </c>
      <c r="BI141" s="34">
        <f>IF(60&gt;=הנחות!D50,הנחות!B50*(1+הנחות!C50)^4,0)</f>
        <v>3660.2500000000009</v>
      </c>
    </row>
    <row r="142" spans="1:61" x14ac:dyDescent="0.25">
      <c r="A142" s="31" t="s">
        <v>270</v>
      </c>
      <c r="B142" s="34">
        <f>IF(1&gt;=הנחות!D51,הנחות!B51*(1+הנחות!C51)^0,0)</f>
        <v>8000</v>
      </c>
      <c r="C142" s="34">
        <f>IF(2&gt;=הנחות!D51,הנחות!B51*(1+הנחות!C51)^0,0)</f>
        <v>8000</v>
      </c>
      <c r="D142" s="34">
        <f>IF(3&gt;=הנחות!D51,הנחות!B51*(1+הנחות!C51)^0,0)</f>
        <v>8000</v>
      </c>
      <c r="E142" s="34">
        <f>IF(4&gt;=הנחות!D51,הנחות!B51*(1+הנחות!C51)^0,0)</f>
        <v>8000</v>
      </c>
      <c r="F142" s="34">
        <f>IF(5&gt;=הנחות!D51,הנחות!B51*(1+הנחות!C51)^0,0)</f>
        <v>8000</v>
      </c>
      <c r="G142" s="34">
        <f>IF(6&gt;=הנחות!D51,הנחות!B51*(1+הנחות!C51)^0,0)</f>
        <v>8000</v>
      </c>
      <c r="H142" s="34">
        <f>IF(7&gt;=הנחות!D51,הנחות!B51*(1+הנחות!C51)^0,0)</f>
        <v>8000</v>
      </c>
      <c r="I142" s="34">
        <f>IF(8&gt;=הנחות!D51,הנחות!B51*(1+הנחות!C51)^0,0)</f>
        <v>8000</v>
      </c>
      <c r="J142" s="34">
        <f>IF(9&gt;=הנחות!D51,הנחות!B51*(1+הנחות!C51)^0,0)</f>
        <v>8000</v>
      </c>
      <c r="K142" s="34">
        <f>IF(10&gt;=הנחות!D51,הנחות!B51*(1+הנחות!C51)^0,0)</f>
        <v>8000</v>
      </c>
      <c r="L142" s="34">
        <f>IF(11&gt;=הנחות!D51,הנחות!B51*(1+הנחות!C51)^0,0)</f>
        <v>8000</v>
      </c>
      <c r="M142" s="34">
        <f>IF(12&gt;=הנחות!D51,הנחות!B51*(1+הנחות!C51)^0,0)</f>
        <v>8000</v>
      </c>
      <c r="N142" s="34">
        <f>IF(13&gt;=הנחות!D51,הנחות!B51*(1+הנחות!C51)^1,0)</f>
        <v>9200</v>
      </c>
      <c r="O142" s="34">
        <f>IF(14&gt;=הנחות!D51,הנחות!B51*(1+הנחות!C51)^1,0)</f>
        <v>9200</v>
      </c>
      <c r="P142" s="34">
        <f>IF(15&gt;=הנחות!D51,הנחות!B51*(1+הנחות!C51)^1,0)</f>
        <v>9200</v>
      </c>
      <c r="Q142" s="34">
        <f>IF(16&gt;=הנחות!D51,הנחות!B51*(1+הנחות!C51)^1,0)</f>
        <v>9200</v>
      </c>
      <c r="R142" s="34">
        <f>IF(17&gt;=הנחות!D51,הנחות!B51*(1+הנחות!C51)^1,0)</f>
        <v>9200</v>
      </c>
      <c r="S142" s="34">
        <f>IF(18&gt;=הנחות!D51,הנחות!B51*(1+הנחות!C51)^1,0)</f>
        <v>9200</v>
      </c>
      <c r="T142" s="34">
        <f>IF(19&gt;=הנחות!D51,הנחות!B51*(1+הנחות!C51)^1,0)</f>
        <v>9200</v>
      </c>
      <c r="U142" s="34">
        <f>IF(20&gt;=הנחות!D51,הנחות!B51*(1+הנחות!C51)^1,0)</f>
        <v>9200</v>
      </c>
      <c r="V142" s="34">
        <f>IF(21&gt;=הנחות!D51,הנחות!B51*(1+הנחות!C51)^1,0)</f>
        <v>9200</v>
      </c>
      <c r="W142" s="34">
        <f>IF(22&gt;=הנחות!D51,הנחות!B51*(1+הנחות!C51)^1,0)</f>
        <v>9200</v>
      </c>
      <c r="X142" s="34">
        <f>IF(23&gt;=הנחות!D51,הנחות!B51*(1+הנחות!C51)^1,0)</f>
        <v>9200</v>
      </c>
      <c r="Y142" s="34">
        <f>IF(24&gt;=הנחות!D51,הנחות!B51*(1+הנחות!C51)^1,0)</f>
        <v>9200</v>
      </c>
      <c r="Z142" s="34">
        <f>IF(25&gt;=הנחות!D51,הנחות!B51*(1+הנחות!C51)^2,0)</f>
        <v>10579.999999999998</v>
      </c>
      <c r="AA142" s="34">
        <f>IF(26&gt;=הנחות!D51,הנחות!B51*(1+הנחות!C51)^2,0)</f>
        <v>10579.999999999998</v>
      </c>
      <c r="AB142" s="34">
        <f>IF(27&gt;=הנחות!D51,הנחות!B51*(1+הנחות!C51)^2,0)</f>
        <v>10579.999999999998</v>
      </c>
      <c r="AC142" s="34">
        <f>IF(28&gt;=הנחות!D51,הנחות!B51*(1+הנחות!C51)^2,0)</f>
        <v>10579.999999999998</v>
      </c>
      <c r="AD142" s="34">
        <f>IF(29&gt;=הנחות!D51,הנחות!B51*(1+הנחות!C51)^2,0)</f>
        <v>10579.999999999998</v>
      </c>
      <c r="AE142" s="34">
        <f>IF(30&gt;=הנחות!D51,הנחות!B51*(1+הנחות!C51)^2,0)</f>
        <v>10579.999999999998</v>
      </c>
      <c r="AF142" s="34">
        <f>IF(31&gt;=הנחות!D51,הנחות!B51*(1+הנחות!C51)^2,0)</f>
        <v>10579.999999999998</v>
      </c>
      <c r="AG142" s="34">
        <f>IF(32&gt;=הנחות!D51,הנחות!B51*(1+הנחות!C51)^2,0)</f>
        <v>10579.999999999998</v>
      </c>
      <c r="AH142" s="34">
        <f>IF(33&gt;=הנחות!D51,הנחות!B51*(1+הנחות!C51)^2,0)</f>
        <v>10579.999999999998</v>
      </c>
      <c r="AI142" s="34">
        <f>IF(34&gt;=הנחות!D51,הנחות!B51*(1+הנחות!C51)^2,0)</f>
        <v>10579.999999999998</v>
      </c>
      <c r="AJ142" s="34">
        <f>IF(35&gt;=הנחות!D51,הנחות!B51*(1+הנחות!C51)^2,0)</f>
        <v>10579.999999999998</v>
      </c>
      <c r="AK142" s="34">
        <f>IF(36&gt;=הנחות!D51,הנחות!B51*(1+הנחות!C51)^2,0)</f>
        <v>10579.999999999998</v>
      </c>
      <c r="AL142" s="34">
        <f>IF(37&gt;=הנחות!D51,הנחות!B51*(1+הנחות!C51)^3,0)</f>
        <v>12166.999999999996</v>
      </c>
      <c r="AM142" s="34">
        <f>IF(38&gt;=הנחות!D51,הנחות!B51*(1+הנחות!C51)^3,0)</f>
        <v>12166.999999999996</v>
      </c>
      <c r="AN142" s="34">
        <f>IF(39&gt;=הנחות!D51,הנחות!B51*(1+הנחות!C51)^3,0)</f>
        <v>12166.999999999996</v>
      </c>
      <c r="AO142" s="34">
        <f>IF(40&gt;=הנחות!D51,הנחות!B51*(1+הנחות!C51)^3,0)</f>
        <v>12166.999999999996</v>
      </c>
      <c r="AP142" s="34">
        <f>IF(41&gt;=הנחות!D51,הנחות!B51*(1+הנחות!C51)^3,0)</f>
        <v>12166.999999999996</v>
      </c>
      <c r="AQ142" s="34">
        <f>IF(42&gt;=הנחות!D51,הנחות!B51*(1+הנחות!C51)^3,0)</f>
        <v>12166.999999999996</v>
      </c>
      <c r="AR142" s="34">
        <f>IF(43&gt;=הנחות!D51,הנחות!B51*(1+הנחות!C51)^3,0)</f>
        <v>12166.999999999996</v>
      </c>
      <c r="AS142" s="34">
        <f>IF(44&gt;=הנחות!D51,הנחות!B51*(1+הנחות!C51)^3,0)</f>
        <v>12166.999999999996</v>
      </c>
      <c r="AT142" s="34">
        <f>IF(45&gt;=הנחות!D51,הנחות!B51*(1+הנחות!C51)^3,0)</f>
        <v>12166.999999999996</v>
      </c>
      <c r="AU142" s="34">
        <f>IF(46&gt;=הנחות!D51,הנחות!B51*(1+הנחות!C51)^3,0)</f>
        <v>12166.999999999996</v>
      </c>
      <c r="AV142" s="34">
        <f>IF(47&gt;=הנחות!D51,הנחות!B51*(1+הנחות!C51)^3,0)</f>
        <v>12166.999999999996</v>
      </c>
      <c r="AW142" s="34">
        <f>IF(48&gt;=הנחות!D51,הנחות!B51*(1+הנחות!C51)^3,0)</f>
        <v>12166.999999999996</v>
      </c>
      <c r="AX142" s="34">
        <f>IF(49&gt;=הנחות!D51,הנחות!B51*(1+הנחות!C51)^4,0)</f>
        <v>13992.049999999996</v>
      </c>
      <c r="AY142" s="34">
        <f>IF(50&gt;=הנחות!D51,הנחות!B51*(1+הנחות!C51)^4,0)</f>
        <v>13992.049999999996</v>
      </c>
      <c r="AZ142" s="34">
        <f>IF(51&gt;=הנחות!D51,הנחות!B51*(1+הנחות!C51)^4,0)</f>
        <v>13992.049999999996</v>
      </c>
      <c r="BA142" s="34">
        <f>IF(52&gt;=הנחות!D51,הנחות!B51*(1+הנחות!C51)^4,0)</f>
        <v>13992.049999999996</v>
      </c>
      <c r="BB142" s="34">
        <f>IF(53&gt;=הנחות!D51,הנחות!B51*(1+הנחות!C51)^4,0)</f>
        <v>13992.049999999996</v>
      </c>
      <c r="BC142" s="34">
        <f>IF(54&gt;=הנחות!D51,הנחות!B51*(1+הנחות!C51)^4,0)</f>
        <v>13992.049999999996</v>
      </c>
      <c r="BD142" s="34">
        <f>IF(55&gt;=הנחות!D51,הנחות!B51*(1+הנחות!C51)^4,0)</f>
        <v>13992.049999999996</v>
      </c>
      <c r="BE142" s="34">
        <f>IF(56&gt;=הנחות!D51,הנחות!B51*(1+הנחות!C51)^4,0)</f>
        <v>13992.049999999996</v>
      </c>
      <c r="BF142" s="34">
        <f>IF(57&gt;=הנחות!D51,הנחות!B51*(1+הנחות!C51)^4,0)</f>
        <v>13992.049999999996</v>
      </c>
      <c r="BG142" s="34">
        <f>IF(58&gt;=הנחות!D51,הנחות!B51*(1+הנחות!C51)^4,0)</f>
        <v>13992.049999999996</v>
      </c>
      <c r="BH142" s="34">
        <f>IF(59&gt;=הנחות!D51,הנחות!B51*(1+הנחות!C51)^4,0)</f>
        <v>13992.049999999996</v>
      </c>
      <c r="BI142" s="34">
        <f>IF(60&gt;=הנחות!D51,הנחות!B51*(1+הנחות!C51)^4,0)</f>
        <v>13992.049999999996</v>
      </c>
    </row>
    <row r="143" spans="1:61" x14ac:dyDescent="0.25">
      <c r="A143" s="31" t="s">
        <v>271</v>
      </c>
      <c r="B143" s="34">
        <f>IF(1&gt;=הנחות!D52,הנחות!B52*(1+הנחות!C52)^0,0)</f>
        <v>2000</v>
      </c>
      <c r="C143" s="34">
        <f>IF(2&gt;=הנחות!D52,הנחות!B52*(1+הנחות!C52)^0,0)</f>
        <v>2000</v>
      </c>
      <c r="D143" s="34">
        <f>IF(3&gt;=הנחות!D52,הנחות!B52*(1+הנחות!C52)^0,0)</f>
        <v>2000</v>
      </c>
      <c r="E143" s="34">
        <f>IF(4&gt;=הנחות!D52,הנחות!B52*(1+הנחות!C52)^0,0)</f>
        <v>2000</v>
      </c>
      <c r="F143" s="34">
        <f>IF(5&gt;=הנחות!D52,הנחות!B52*(1+הנחות!C52)^0,0)</f>
        <v>2000</v>
      </c>
      <c r="G143" s="34">
        <f>IF(6&gt;=הנחות!D52,הנחות!B52*(1+הנחות!C52)^0,0)</f>
        <v>2000</v>
      </c>
      <c r="H143" s="34">
        <f>IF(7&gt;=הנחות!D52,הנחות!B52*(1+הנחות!C52)^0,0)</f>
        <v>2000</v>
      </c>
      <c r="I143" s="34">
        <f>IF(8&gt;=הנחות!D52,הנחות!B52*(1+הנחות!C52)^0,0)</f>
        <v>2000</v>
      </c>
      <c r="J143" s="34">
        <f>IF(9&gt;=הנחות!D52,הנחות!B52*(1+הנחות!C52)^0,0)</f>
        <v>2000</v>
      </c>
      <c r="K143" s="34">
        <f>IF(10&gt;=הנחות!D52,הנחות!B52*(1+הנחות!C52)^0,0)</f>
        <v>2000</v>
      </c>
      <c r="L143" s="34">
        <f>IF(11&gt;=הנחות!D52,הנחות!B52*(1+הנחות!C52)^0,0)</f>
        <v>2000</v>
      </c>
      <c r="M143" s="34">
        <f>IF(12&gt;=הנחות!D52,הנחות!B52*(1+הנחות!C52)^0,0)</f>
        <v>2000</v>
      </c>
      <c r="N143" s="34">
        <f>IF(13&gt;=הנחות!D52,הנחות!B52*(1+הנחות!C52)^1,0)</f>
        <v>2200</v>
      </c>
      <c r="O143" s="34">
        <f>IF(14&gt;=הנחות!D52,הנחות!B52*(1+הנחות!C52)^1,0)</f>
        <v>2200</v>
      </c>
      <c r="P143" s="34">
        <f>IF(15&gt;=הנחות!D52,הנחות!B52*(1+הנחות!C52)^1,0)</f>
        <v>2200</v>
      </c>
      <c r="Q143" s="34">
        <f>IF(16&gt;=הנחות!D52,הנחות!B52*(1+הנחות!C52)^1,0)</f>
        <v>2200</v>
      </c>
      <c r="R143" s="34">
        <f>IF(17&gt;=הנחות!D52,הנחות!B52*(1+הנחות!C52)^1,0)</f>
        <v>2200</v>
      </c>
      <c r="S143" s="34">
        <f>IF(18&gt;=הנחות!D52,הנחות!B52*(1+הנחות!C52)^1,0)</f>
        <v>2200</v>
      </c>
      <c r="T143" s="34">
        <f>IF(19&gt;=הנחות!D52,הנחות!B52*(1+הנחות!C52)^1,0)</f>
        <v>2200</v>
      </c>
      <c r="U143" s="34">
        <f>IF(20&gt;=הנחות!D52,הנחות!B52*(1+הנחות!C52)^1,0)</f>
        <v>2200</v>
      </c>
      <c r="V143" s="34">
        <f>IF(21&gt;=הנחות!D52,הנחות!B52*(1+הנחות!C52)^1,0)</f>
        <v>2200</v>
      </c>
      <c r="W143" s="34">
        <f>IF(22&gt;=הנחות!D52,הנחות!B52*(1+הנחות!C52)^1,0)</f>
        <v>2200</v>
      </c>
      <c r="X143" s="34">
        <f>IF(23&gt;=הנחות!D52,הנחות!B52*(1+הנחות!C52)^1,0)</f>
        <v>2200</v>
      </c>
      <c r="Y143" s="34">
        <f>IF(24&gt;=הנחות!D52,הנחות!B52*(1+הנחות!C52)^1,0)</f>
        <v>2200</v>
      </c>
      <c r="Z143" s="34">
        <f>IF(25&gt;=הנחות!D52,הנחות!B52*(1+הנחות!C52)^2,0)</f>
        <v>2420.0000000000005</v>
      </c>
      <c r="AA143" s="34">
        <f>IF(26&gt;=הנחות!D52,הנחות!B52*(1+הנחות!C52)^2,0)</f>
        <v>2420.0000000000005</v>
      </c>
      <c r="AB143" s="34">
        <f>IF(27&gt;=הנחות!D52,הנחות!B52*(1+הנחות!C52)^2,0)</f>
        <v>2420.0000000000005</v>
      </c>
      <c r="AC143" s="34">
        <f>IF(28&gt;=הנחות!D52,הנחות!B52*(1+הנחות!C52)^2,0)</f>
        <v>2420.0000000000005</v>
      </c>
      <c r="AD143" s="34">
        <f>IF(29&gt;=הנחות!D52,הנחות!B52*(1+הנחות!C52)^2,0)</f>
        <v>2420.0000000000005</v>
      </c>
      <c r="AE143" s="34">
        <f>IF(30&gt;=הנחות!D52,הנחות!B52*(1+הנחות!C52)^2,0)</f>
        <v>2420.0000000000005</v>
      </c>
      <c r="AF143" s="34">
        <f>IF(31&gt;=הנחות!D52,הנחות!B52*(1+הנחות!C52)^2,0)</f>
        <v>2420.0000000000005</v>
      </c>
      <c r="AG143" s="34">
        <f>IF(32&gt;=הנחות!D52,הנחות!B52*(1+הנחות!C52)^2,0)</f>
        <v>2420.0000000000005</v>
      </c>
      <c r="AH143" s="34">
        <f>IF(33&gt;=הנחות!D52,הנחות!B52*(1+הנחות!C52)^2,0)</f>
        <v>2420.0000000000005</v>
      </c>
      <c r="AI143" s="34">
        <f>IF(34&gt;=הנחות!D52,הנחות!B52*(1+הנחות!C52)^2,0)</f>
        <v>2420.0000000000005</v>
      </c>
      <c r="AJ143" s="34">
        <f>IF(35&gt;=הנחות!D52,הנחות!B52*(1+הנחות!C52)^2,0)</f>
        <v>2420.0000000000005</v>
      </c>
      <c r="AK143" s="34">
        <f>IF(36&gt;=הנחות!D52,הנחות!B52*(1+הנחות!C52)^2,0)</f>
        <v>2420.0000000000005</v>
      </c>
      <c r="AL143" s="34">
        <f>IF(37&gt;=הנחות!D52,הנחות!B52*(1+הנחות!C52)^3,0)</f>
        <v>2662.0000000000009</v>
      </c>
      <c r="AM143" s="34">
        <f>IF(38&gt;=הנחות!D52,הנחות!B52*(1+הנחות!C52)^3,0)</f>
        <v>2662.0000000000009</v>
      </c>
      <c r="AN143" s="34">
        <f>IF(39&gt;=הנחות!D52,הנחות!B52*(1+הנחות!C52)^3,0)</f>
        <v>2662.0000000000009</v>
      </c>
      <c r="AO143" s="34">
        <f>IF(40&gt;=הנחות!D52,הנחות!B52*(1+הנחות!C52)^3,0)</f>
        <v>2662.0000000000009</v>
      </c>
      <c r="AP143" s="34">
        <f>IF(41&gt;=הנחות!D52,הנחות!B52*(1+הנחות!C52)^3,0)</f>
        <v>2662.0000000000009</v>
      </c>
      <c r="AQ143" s="34">
        <f>IF(42&gt;=הנחות!D52,הנחות!B52*(1+הנחות!C52)^3,0)</f>
        <v>2662.0000000000009</v>
      </c>
      <c r="AR143" s="34">
        <f>IF(43&gt;=הנחות!D52,הנחות!B52*(1+הנחות!C52)^3,0)</f>
        <v>2662.0000000000009</v>
      </c>
      <c r="AS143" s="34">
        <f>IF(44&gt;=הנחות!D52,הנחות!B52*(1+הנחות!C52)^3,0)</f>
        <v>2662.0000000000009</v>
      </c>
      <c r="AT143" s="34">
        <f>IF(45&gt;=הנחות!D52,הנחות!B52*(1+הנחות!C52)^3,0)</f>
        <v>2662.0000000000009</v>
      </c>
      <c r="AU143" s="34">
        <f>IF(46&gt;=הנחות!D52,הנחות!B52*(1+הנחות!C52)^3,0)</f>
        <v>2662.0000000000009</v>
      </c>
      <c r="AV143" s="34">
        <f>IF(47&gt;=הנחות!D52,הנחות!B52*(1+הנחות!C52)^3,0)</f>
        <v>2662.0000000000009</v>
      </c>
      <c r="AW143" s="34">
        <f>IF(48&gt;=הנחות!D52,הנחות!B52*(1+הנחות!C52)^3,0)</f>
        <v>2662.0000000000009</v>
      </c>
      <c r="AX143" s="34">
        <f>IF(49&gt;=הנחות!D52,הנחות!B52*(1+הנחות!C52)^4,0)</f>
        <v>2928.2000000000007</v>
      </c>
      <c r="AY143" s="34">
        <f>IF(50&gt;=הנחות!D52,הנחות!B52*(1+הנחות!C52)^4,0)</f>
        <v>2928.2000000000007</v>
      </c>
      <c r="AZ143" s="34">
        <f>IF(51&gt;=הנחות!D52,הנחות!B52*(1+הנחות!C52)^4,0)</f>
        <v>2928.2000000000007</v>
      </c>
      <c r="BA143" s="34">
        <f>IF(52&gt;=הנחות!D52,הנחות!B52*(1+הנחות!C52)^4,0)</f>
        <v>2928.2000000000007</v>
      </c>
      <c r="BB143" s="34">
        <f>IF(53&gt;=הנחות!D52,הנחות!B52*(1+הנחות!C52)^4,0)</f>
        <v>2928.2000000000007</v>
      </c>
      <c r="BC143" s="34">
        <f>IF(54&gt;=הנחות!D52,הנחות!B52*(1+הנחות!C52)^4,0)</f>
        <v>2928.2000000000007</v>
      </c>
      <c r="BD143" s="34">
        <f>IF(55&gt;=הנחות!D52,הנחות!B52*(1+הנחות!C52)^4,0)</f>
        <v>2928.2000000000007</v>
      </c>
      <c r="BE143" s="34">
        <f>IF(56&gt;=הנחות!D52,הנחות!B52*(1+הנחות!C52)^4,0)</f>
        <v>2928.2000000000007</v>
      </c>
      <c r="BF143" s="34">
        <f>IF(57&gt;=הנחות!D52,הנחות!B52*(1+הנחות!C52)^4,0)</f>
        <v>2928.2000000000007</v>
      </c>
      <c r="BG143" s="34">
        <f>IF(58&gt;=הנחות!D52,הנחות!B52*(1+הנחות!C52)^4,0)</f>
        <v>2928.2000000000007</v>
      </c>
      <c r="BH143" s="34">
        <f>IF(59&gt;=הנחות!D52,הנחות!B52*(1+הנחות!C52)^4,0)</f>
        <v>2928.2000000000007</v>
      </c>
      <c r="BI143" s="34">
        <f>IF(60&gt;=הנחות!D52,הנחות!B52*(1+הנחות!C52)^4,0)</f>
        <v>2928.2000000000007</v>
      </c>
    </row>
    <row r="144" spans="1:61" x14ac:dyDescent="0.25">
      <c r="A144" s="31" t="s">
        <v>272</v>
      </c>
      <c r="B144" s="34">
        <f>IF(1&gt;=הנחות!D53,הנחות!B53*(1+הנחות!C53)^0,0)</f>
        <v>3000</v>
      </c>
      <c r="C144" s="34">
        <f>IF(2&gt;=הנחות!D53,הנחות!B53*(1+הנחות!C53)^0,0)</f>
        <v>3000</v>
      </c>
      <c r="D144" s="34">
        <f>IF(3&gt;=הנחות!D53,הנחות!B53*(1+הנחות!C53)^0,0)</f>
        <v>3000</v>
      </c>
      <c r="E144" s="34">
        <f>IF(4&gt;=הנחות!D53,הנחות!B53*(1+הנחות!C53)^0,0)</f>
        <v>3000</v>
      </c>
      <c r="F144" s="34">
        <f>IF(5&gt;=הנחות!D53,הנחות!B53*(1+הנחות!C53)^0,0)</f>
        <v>3000</v>
      </c>
      <c r="G144" s="34">
        <f>IF(6&gt;=הנחות!D53,הנחות!B53*(1+הנחות!C53)^0,0)</f>
        <v>3000</v>
      </c>
      <c r="H144" s="34">
        <f>IF(7&gt;=הנחות!D53,הנחות!B53*(1+הנחות!C53)^0,0)</f>
        <v>3000</v>
      </c>
      <c r="I144" s="34">
        <f>IF(8&gt;=הנחות!D53,הנחות!B53*(1+הנחות!C53)^0,0)</f>
        <v>3000</v>
      </c>
      <c r="J144" s="34">
        <f>IF(9&gt;=הנחות!D53,הנחות!B53*(1+הנחות!C53)^0,0)</f>
        <v>3000</v>
      </c>
      <c r="K144" s="34">
        <f>IF(10&gt;=הנחות!D53,הנחות!B53*(1+הנחות!C53)^0,0)</f>
        <v>3000</v>
      </c>
      <c r="L144" s="34">
        <f>IF(11&gt;=הנחות!D53,הנחות!B53*(1+הנחות!C53)^0,0)</f>
        <v>3000</v>
      </c>
      <c r="M144" s="34">
        <f>IF(12&gt;=הנחות!D53,הנחות!B53*(1+הנחות!C53)^0,0)</f>
        <v>3000</v>
      </c>
      <c r="N144" s="34">
        <f>IF(13&gt;=הנחות!D53,הנחות!B53*(1+הנחות!C53)^1,0)</f>
        <v>3300.0000000000005</v>
      </c>
      <c r="O144" s="34">
        <f>IF(14&gt;=הנחות!D53,הנחות!B53*(1+הנחות!C53)^1,0)</f>
        <v>3300.0000000000005</v>
      </c>
      <c r="P144" s="34">
        <f>IF(15&gt;=הנחות!D53,הנחות!B53*(1+הנחות!C53)^1,0)</f>
        <v>3300.0000000000005</v>
      </c>
      <c r="Q144" s="34">
        <f>IF(16&gt;=הנחות!D53,הנחות!B53*(1+הנחות!C53)^1,0)</f>
        <v>3300.0000000000005</v>
      </c>
      <c r="R144" s="34">
        <f>IF(17&gt;=הנחות!D53,הנחות!B53*(1+הנחות!C53)^1,0)</f>
        <v>3300.0000000000005</v>
      </c>
      <c r="S144" s="34">
        <f>IF(18&gt;=הנחות!D53,הנחות!B53*(1+הנחות!C53)^1,0)</f>
        <v>3300.0000000000005</v>
      </c>
      <c r="T144" s="34">
        <f>IF(19&gt;=הנחות!D53,הנחות!B53*(1+הנחות!C53)^1,0)</f>
        <v>3300.0000000000005</v>
      </c>
      <c r="U144" s="34">
        <f>IF(20&gt;=הנחות!D53,הנחות!B53*(1+הנחות!C53)^1,0)</f>
        <v>3300.0000000000005</v>
      </c>
      <c r="V144" s="34">
        <f>IF(21&gt;=הנחות!D53,הנחות!B53*(1+הנחות!C53)^1,0)</f>
        <v>3300.0000000000005</v>
      </c>
      <c r="W144" s="34">
        <f>IF(22&gt;=הנחות!D53,הנחות!B53*(1+הנחות!C53)^1,0)</f>
        <v>3300.0000000000005</v>
      </c>
      <c r="X144" s="34">
        <f>IF(23&gt;=הנחות!D53,הנחות!B53*(1+הנחות!C53)^1,0)</f>
        <v>3300.0000000000005</v>
      </c>
      <c r="Y144" s="34">
        <f>IF(24&gt;=הנחות!D53,הנחות!B53*(1+הנחות!C53)^1,0)</f>
        <v>3300.0000000000005</v>
      </c>
      <c r="Z144" s="34">
        <f>IF(25&gt;=הנחות!D53,הנחות!B53*(1+הנחות!C53)^2,0)</f>
        <v>3630.0000000000005</v>
      </c>
      <c r="AA144" s="34">
        <f>IF(26&gt;=הנחות!D53,הנחות!B53*(1+הנחות!C53)^2,0)</f>
        <v>3630.0000000000005</v>
      </c>
      <c r="AB144" s="34">
        <f>IF(27&gt;=הנחות!D53,הנחות!B53*(1+הנחות!C53)^2,0)</f>
        <v>3630.0000000000005</v>
      </c>
      <c r="AC144" s="34">
        <f>IF(28&gt;=הנחות!D53,הנחות!B53*(1+הנחות!C53)^2,0)</f>
        <v>3630.0000000000005</v>
      </c>
      <c r="AD144" s="34">
        <f>IF(29&gt;=הנחות!D53,הנחות!B53*(1+הנחות!C53)^2,0)</f>
        <v>3630.0000000000005</v>
      </c>
      <c r="AE144" s="34">
        <f>IF(30&gt;=הנחות!D53,הנחות!B53*(1+הנחות!C53)^2,0)</f>
        <v>3630.0000000000005</v>
      </c>
      <c r="AF144" s="34">
        <f>IF(31&gt;=הנחות!D53,הנחות!B53*(1+הנחות!C53)^2,0)</f>
        <v>3630.0000000000005</v>
      </c>
      <c r="AG144" s="34">
        <f>IF(32&gt;=הנחות!D53,הנחות!B53*(1+הנחות!C53)^2,0)</f>
        <v>3630.0000000000005</v>
      </c>
      <c r="AH144" s="34">
        <f>IF(33&gt;=הנחות!D53,הנחות!B53*(1+הנחות!C53)^2,0)</f>
        <v>3630.0000000000005</v>
      </c>
      <c r="AI144" s="34">
        <f>IF(34&gt;=הנחות!D53,הנחות!B53*(1+הנחות!C53)^2,0)</f>
        <v>3630.0000000000005</v>
      </c>
      <c r="AJ144" s="34">
        <f>IF(35&gt;=הנחות!D53,הנחות!B53*(1+הנחות!C53)^2,0)</f>
        <v>3630.0000000000005</v>
      </c>
      <c r="AK144" s="34">
        <f>IF(36&gt;=הנחות!D53,הנחות!B53*(1+הנחות!C53)^2,0)</f>
        <v>3630.0000000000005</v>
      </c>
      <c r="AL144" s="34">
        <f>IF(37&gt;=הנחות!D53,הנחות!B53*(1+הנחות!C53)^3,0)</f>
        <v>3993.0000000000014</v>
      </c>
      <c r="AM144" s="34">
        <f>IF(38&gt;=הנחות!D53,הנחות!B53*(1+הנחות!C53)^3,0)</f>
        <v>3993.0000000000014</v>
      </c>
      <c r="AN144" s="34">
        <f>IF(39&gt;=הנחות!D53,הנחות!B53*(1+הנחות!C53)^3,0)</f>
        <v>3993.0000000000014</v>
      </c>
      <c r="AO144" s="34">
        <f>IF(40&gt;=הנחות!D53,הנחות!B53*(1+הנחות!C53)^3,0)</f>
        <v>3993.0000000000014</v>
      </c>
      <c r="AP144" s="34">
        <f>IF(41&gt;=הנחות!D53,הנחות!B53*(1+הנחות!C53)^3,0)</f>
        <v>3993.0000000000014</v>
      </c>
      <c r="AQ144" s="34">
        <f>IF(42&gt;=הנחות!D53,הנחות!B53*(1+הנחות!C53)^3,0)</f>
        <v>3993.0000000000014</v>
      </c>
      <c r="AR144" s="34">
        <f>IF(43&gt;=הנחות!D53,הנחות!B53*(1+הנחות!C53)^3,0)</f>
        <v>3993.0000000000014</v>
      </c>
      <c r="AS144" s="34">
        <f>IF(44&gt;=הנחות!D53,הנחות!B53*(1+הנחות!C53)^3,0)</f>
        <v>3993.0000000000014</v>
      </c>
      <c r="AT144" s="34">
        <f>IF(45&gt;=הנחות!D53,הנחות!B53*(1+הנחות!C53)^3,0)</f>
        <v>3993.0000000000014</v>
      </c>
      <c r="AU144" s="34">
        <f>IF(46&gt;=הנחות!D53,הנחות!B53*(1+הנחות!C53)^3,0)</f>
        <v>3993.0000000000014</v>
      </c>
      <c r="AV144" s="34">
        <f>IF(47&gt;=הנחות!D53,הנחות!B53*(1+הנחות!C53)^3,0)</f>
        <v>3993.0000000000014</v>
      </c>
      <c r="AW144" s="34">
        <f>IF(48&gt;=הנחות!D53,הנחות!B53*(1+הנחות!C53)^3,0)</f>
        <v>3993.0000000000014</v>
      </c>
      <c r="AX144" s="34">
        <f>IF(49&gt;=הנחות!D53,הנחות!B53*(1+הנחות!C53)^4,0)</f>
        <v>4392.3000000000011</v>
      </c>
      <c r="AY144" s="34">
        <f>IF(50&gt;=הנחות!D53,הנחות!B53*(1+הנחות!C53)^4,0)</f>
        <v>4392.3000000000011</v>
      </c>
      <c r="AZ144" s="34">
        <f>IF(51&gt;=הנחות!D53,הנחות!B53*(1+הנחות!C53)^4,0)</f>
        <v>4392.3000000000011</v>
      </c>
      <c r="BA144" s="34">
        <f>IF(52&gt;=הנחות!D53,הנחות!B53*(1+הנחות!C53)^4,0)</f>
        <v>4392.3000000000011</v>
      </c>
      <c r="BB144" s="34">
        <f>IF(53&gt;=הנחות!D53,הנחות!B53*(1+הנחות!C53)^4,0)</f>
        <v>4392.3000000000011</v>
      </c>
      <c r="BC144" s="34">
        <f>IF(54&gt;=הנחות!D53,הנחות!B53*(1+הנחות!C53)^4,0)</f>
        <v>4392.3000000000011</v>
      </c>
      <c r="BD144" s="34">
        <f>IF(55&gt;=הנחות!D53,הנחות!B53*(1+הנחות!C53)^4,0)</f>
        <v>4392.3000000000011</v>
      </c>
      <c r="BE144" s="34">
        <f>IF(56&gt;=הנחות!D53,הנחות!B53*(1+הנחות!C53)^4,0)</f>
        <v>4392.3000000000011</v>
      </c>
      <c r="BF144" s="34">
        <f>IF(57&gt;=הנחות!D53,הנחות!B53*(1+הנחות!C53)^4,0)</f>
        <v>4392.3000000000011</v>
      </c>
      <c r="BG144" s="34">
        <f>IF(58&gt;=הנחות!D53,הנחות!B53*(1+הנחות!C53)^4,0)</f>
        <v>4392.3000000000011</v>
      </c>
      <c r="BH144" s="34">
        <f>IF(59&gt;=הנחות!D53,הנחות!B53*(1+הנחות!C53)^4,0)</f>
        <v>4392.3000000000011</v>
      </c>
      <c r="BI144" s="34">
        <f>IF(60&gt;=הנחות!D53,הנחות!B53*(1+הנחות!C53)^4,0)</f>
        <v>4392.3000000000011</v>
      </c>
    </row>
  </sheetData>
  <mergeCells count="14">
    <mergeCell ref="A1:G1"/>
    <mergeCell ref="A32:BI32"/>
    <mergeCell ref="A102:BI102"/>
    <mergeCell ref="A67:BI67"/>
    <mergeCell ref="A6:BI6"/>
    <mergeCell ref="A22:BI22"/>
    <mergeCell ref="A131:BI131"/>
    <mergeCell ref="A50:BI50"/>
    <mergeCell ref="A26:BI26"/>
    <mergeCell ref="A15:BI15"/>
    <mergeCell ref="A33:BI33"/>
    <mergeCell ref="A103:BI103"/>
    <mergeCell ref="A117:BI117"/>
    <mergeCell ref="A84:BI8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rightToLeft="1" topLeftCell="A23" workbookViewId="0">
      <selection activeCell="C53" sqref="C53"/>
    </sheetView>
  </sheetViews>
  <sheetFormatPr defaultRowHeight="15" x14ac:dyDescent="0.25"/>
  <cols>
    <col min="1" max="1" width="28" customWidth="1"/>
    <col min="2" max="3" width="14" customWidth="1"/>
    <col min="4" max="4" width="18" customWidth="1"/>
    <col min="5" max="5" width="28" customWidth="1"/>
    <col min="6" max="6" width="12" customWidth="1"/>
  </cols>
  <sheetData>
    <row r="1" spans="1:4" ht="23.25" customHeight="1" x14ac:dyDescent="0.35">
      <c r="A1" s="74" t="s">
        <v>333</v>
      </c>
      <c r="B1" s="72"/>
      <c r="C1" s="72"/>
      <c r="D1" s="72"/>
    </row>
    <row r="2" spans="1:4" x14ac:dyDescent="0.25">
      <c r="A2" s="73" t="s">
        <v>273</v>
      </c>
      <c r="B2" s="69"/>
      <c r="C2" s="69"/>
      <c r="D2" s="69"/>
    </row>
    <row r="4" spans="1:4" ht="15.75" customHeight="1" x14ac:dyDescent="0.25">
      <c r="A4" s="79" t="s">
        <v>274</v>
      </c>
      <c r="B4" s="69"/>
      <c r="C4" s="69"/>
      <c r="D4" s="69"/>
    </row>
    <row r="5" spans="1:4" x14ac:dyDescent="0.25">
      <c r="A5" s="64" t="s">
        <v>275</v>
      </c>
      <c r="B5" s="1">
        <f>MIN(הנחות!B63,הנחות!B59*(1-הנחות!B64))</f>
        <v>15000000</v>
      </c>
      <c r="C5" s="80" t="s">
        <v>276</v>
      </c>
      <c r="D5" s="81"/>
    </row>
    <row r="6" spans="1:4" x14ac:dyDescent="0.25">
      <c r="A6" s="64" t="s">
        <v>277</v>
      </c>
      <c r="B6" s="10">
        <f>הנחות!B62/B5</f>
        <v>0.1</v>
      </c>
      <c r="C6" s="80" t="s">
        <v>278</v>
      </c>
      <c r="D6" s="81"/>
    </row>
    <row r="7" spans="1:4" x14ac:dyDescent="0.25">
      <c r="A7" s="64" t="s">
        <v>279</v>
      </c>
      <c r="B7" s="1">
        <f>הנחות!B59+הנחות!B65</f>
        <v>23500000</v>
      </c>
      <c r="C7" s="80" t="s">
        <v>280</v>
      </c>
      <c r="D7" s="81"/>
    </row>
    <row r="9" spans="1:4" ht="15.75" customHeight="1" x14ac:dyDescent="0.25">
      <c r="A9" s="79" t="s">
        <v>281</v>
      </c>
      <c r="B9" s="69"/>
      <c r="C9" s="69"/>
      <c r="D9" s="69"/>
    </row>
    <row r="10" spans="1:4" x14ac:dyDescent="0.25">
      <c r="A10" s="65" t="s">
        <v>282</v>
      </c>
      <c r="B10" s="13" t="s">
        <v>283</v>
      </c>
      <c r="C10" s="13" t="s">
        <v>284</v>
      </c>
      <c r="D10" s="13" t="s">
        <v>285</v>
      </c>
    </row>
    <row r="11" spans="1:4" x14ac:dyDescent="0.25">
      <c r="A11" s="64" t="s">
        <v>286</v>
      </c>
      <c r="B11" s="10">
        <f>הנחות!B65/(הנחות!B59+הנחות!B65)</f>
        <v>0.14893617021276595</v>
      </c>
      <c r="C11" s="1">
        <f>B11*(הנחות!B59+הנחות!B65)</f>
        <v>3500000</v>
      </c>
      <c r="D11" s="11" t="s">
        <v>287</v>
      </c>
    </row>
    <row r="12" spans="1:4" x14ac:dyDescent="0.25">
      <c r="A12" s="64" t="s">
        <v>288</v>
      </c>
      <c r="B12" s="10">
        <f>(הנחות!B62/MIN(הנחות!B63,הנחות!B59*(1-הנחות!B64)))*(1-B11)</f>
        <v>8.5106382978723416E-2</v>
      </c>
      <c r="C12" s="1">
        <f>B12*(הנחות!B59+הנחות!B65)</f>
        <v>2000000.0000000002</v>
      </c>
      <c r="D12" s="11" t="s">
        <v>289</v>
      </c>
    </row>
    <row r="13" spans="1:4" x14ac:dyDescent="0.25">
      <c r="A13" s="64" t="s">
        <v>290</v>
      </c>
      <c r="B13" s="10">
        <f>הנחות!B67</f>
        <v>0.05</v>
      </c>
      <c r="C13" s="1">
        <f>B13*(הנחות!B59+הנחות!B65)</f>
        <v>1175000</v>
      </c>
      <c r="D13" s="11" t="s">
        <v>291</v>
      </c>
    </row>
    <row r="14" spans="1:4" x14ac:dyDescent="0.25">
      <c r="A14" s="66" t="s">
        <v>292</v>
      </c>
      <c r="B14" s="12">
        <f>1-B11-B12-B13</f>
        <v>0.71595744680851059</v>
      </c>
      <c r="C14" s="9">
        <f>B14*(הנחות!B59+הנחות!B65)</f>
        <v>16825000</v>
      </c>
      <c r="D14" s="14"/>
    </row>
    <row r="15" spans="1:4" x14ac:dyDescent="0.25">
      <c r="A15" s="67" t="s">
        <v>293</v>
      </c>
      <c r="B15" s="15">
        <f>SUM(B11:B14)</f>
        <v>1</v>
      </c>
      <c r="C15" s="16">
        <f>SUM(C11:C14)</f>
        <v>23500000</v>
      </c>
      <c r="D15" s="17"/>
    </row>
    <row r="17" spans="1:6" x14ac:dyDescent="0.25">
      <c r="A17" s="78" t="s">
        <v>294</v>
      </c>
      <c r="B17" s="69"/>
      <c r="C17" s="69"/>
      <c r="D17" s="69"/>
      <c r="E17" s="69"/>
      <c r="F17" s="69"/>
    </row>
    <row r="18" spans="1:6" x14ac:dyDescent="0.25">
      <c r="A18" s="82" t="s">
        <v>295</v>
      </c>
      <c r="B18" s="69"/>
      <c r="C18" s="69"/>
      <c r="D18" s="69"/>
      <c r="E18" s="69"/>
      <c r="F18" s="69"/>
    </row>
    <row r="20" spans="1:6" ht="30" customHeight="1" x14ac:dyDescent="0.25">
      <c r="A20" s="45" t="s">
        <v>296</v>
      </c>
      <c r="B20" s="45" t="s">
        <v>297</v>
      </c>
      <c r="C20" s="45" t="s">
        <v>298</v>
      </c>
      <c r="D20" s="45" t="s">
        <v>299</v>
      </c>
      <c r="E20" s="45" t="s">
        <v>300</v>
      </c>
      <c r="F20" s="45" t="s">
        <v>301</v>
      </c>
    </row>
    <row r="21" spans="1:6" x14ac:dyDescent="0.25">
      <c r="A21" s="46" t="s">
        <v>302</v>
      </c>
      <c r="B21" s="47" t="s">
        <v>303</v>
      </c>
      <c r="C21" s="48">
        <f>סיכום!D9*6</f>
        <v>64134889.358382784</v>
      </c>
      <c r="D21" s="49">
        <f>C21*הנחות!B66/(1-הנחות!B66)</f>
        <v>16033722.339595696</v>
      </c>
      <c r="E21" s="48">
        <f>C21+D21</f>
        <v>80168611.697978482</v>
      </c>
      <c r="F21" s="50">
        <f>הנחות!B66</f>
        <v>0.2</v>
      </c>
    </row>
    <row r="22" spans="1:6" x14ac:dyDescent="0.25">
      <c r="A22" s="46" t="s">
        <v>304</v>
      </c>
      <c r="B22" s="47" t="s">
        <v>305</v>
      </c>
      <c r="C22" s="48">
        <f>סיכום!D9*8</f>
        <v>85513185.811177045</v>
      </c>
      <c r="D22" s="49">
        <f>C22*הנחות!B66/(1-הנחות!B66)</f>
        <v>21378296.452794261</v>
      </c>
      <c r="E22" s="48">
        <f>C22+D22</f>
        <v>106891482.2639713</v>
      </c>
      <c r="F22" s="50">
        <f>הנחות!B66</f>
        <v>0.2</v>
      </c>
    </row>
    <row r="23" spans="1:6" x14ac:dyDescent="0.25">
      <c r="A23" s="46" t="s">
        <v>306</v>
      </c>
      <c r="B23" s="47" t="s">
        <v>307</v>
      </c>
      <c r="C23" s="48">
        <f>סיכום!D9*12</f>
        <v>128269778.71676557</v>
      </c>
      <c r="D23" s="49">
        <f>C23*הנחות!B66/(1-הנחות!B66)</f>
        <v>32067444.679191392</v>
      </c>
      <c r="E23" s="48">
        <f>C23+D23</f>
        <v>160337223.39595696</v>
      </c>
      <c r="F23" s="50">
        <f>הנחות!B66</f>
        <v>0.2</v>
      </c>
    </row>
    <row r="26" spans="1:6" x14ac:dyDescent="0.25">
      <c r="A26" s="78" t="s">
        <v>308</v>
      </c>
      <c r="B26" s="69"/>
      <c r="C26" s="69"/>
      <c r="D26" s="69"/>
      <c r="E26" s="69"/>
      <c r="F26" s="69"/>
    </row>
    <row r="27" spans="1:6" ht="30" customHeight="1" x14ac:dyDescent="0.25">
      <c r="A27" s="45" t="s">
        <v>282</v>
      </c>
      <c r="B27" s="45" t="s">
        <v>309</v>
      </c>
      <c r="C27" s="45" t="s">
        <v>310</v>
      </c>
      <c r="D27" s="45" t="s">
        <v>284</v>
      </c>
      <c r="E27" s="45" t="s">
        <v>285</v>
      </c>
    </row>
    <row r="28" spans="1:6" x14ac:dyDescent="0.25">
      <c r="A28" s="46" t="s">
        <v>292</v>
      </c>
      <c r="B28" s="51">
        <f>B14</f>
        <v>0.71595744680851059</v>
      </c>
      <c r="C28" s="52">
        <f>B14*(1-הנחות!B66)</f>
        <v>0.57276595744680847</v>
      </c>
      <c r="D28" s="49">
        <f>B14*(1-הנחות!B66)*E22</f>
        <v>61223802.181832068</v>
      </c>
      <c r="E28" s="53"/>
    </row>
    <row r="29" spans="1:6" x14ac:dyDescent="0.25">
      <c r="A29" s="46" t="s">
        <v>286</v>
      </c>
      <c r="B29" s="51">
        <f>B11</f>
        <v>0.14893617021276595</v>
      </c>
      <c r="C29" s="52">
        <f>B11*(1-הנחות!B66)</f>
        <v>0.11914893617021277</v>
      </c>
      <c r="D29" s="49">
        <f>B11*(1-הנחות!B66)*E22</f>
        <v>12736006.397409346</v>
      </c>
      <c r="E29" s="53" t="s">
        <v>287</v>
      </c>
    </row>
    <row r="30" spans="1:6" x14ac:dyDescent="0.25">
      <c r="A30" s="46" t="s">
        <v>288</v>
      </c>
      <c r="B30" s="51">
        <f>B12</f>
        <v>8.5106382978723416E-2</v>
      </c>
      <c r="C30" s="52">
        <f>B12*(1-הנחות!B66)</f>
        <v>6.8085106382978738E-2</v>
      </c>
      <c r="D30" s="49">
        <f>B12*(1-הנחות!B66)*E22</f>
        <v>7277717.9413767708</v>
      </c>
      <c r="E30" s="53" t="s">
        <v>311</v>
      </c>
    </row>
    <row r="31" spans="1:6" x14ac:dyDescent="0.25">
      <c r="A31" s="46" t="s">
        <v>290</v>
      </c>
      <c r="B31" s="51">
        <f>B13</f>
        <v>0.05</v>
      </c>
      <c r="C31" s="52">
        <f>B13*(1-הנחות!B66)</f>
        <v>4.0000000000000008E-2</v>
      </c>
      <c r="D31" s="49">
        <f>B13*(1-הנחות!B66)*E22</f>
        <v>4275659.2905588532</v>
      </c>
      <c r="E31" s="53" t="s">
        <v>291</v>
      </c>
    </row>
    <row r="32" spans="1:6" x14ac:dyDescent="0.25">
      <c r="A32" s="54" t="s">
        <v>312</v>
      </c>
      <c r="B32" s="55">
        <v>0</v>
      </c>
      <c r="C32" s="56">
        <f>הנחות!B66</f>
        <v>0.2</v>
      </c>
      <c r="D32" s="57">
        <f>הנחות!B66*E22</f>
        <v>21378296.452794261</v>
      </c>
      <c r="E32" s="58" t="s">
        <v>313</v>
      </c>
    </row>
    <row r="33" spans="1:6" x14ac:dyDescent="0.25">
      <c r="A33" s="59" t="s">
        <v>293</v>
      </c>
      <c r="B33" s="60">
        <f>SUM(B28:B32)</f>
        <v>1</v>
      </c>
      <c r="C33" s="60">
        <f>SUM(C28:C32)</f>
        <v>1</v>
      </c>
      <c r="D33" s="61">
        <f>SUM(D28:D32)</f>
        <v>106891482.2639713</v>
      </c>
    </row>
    <row r="34" spans="1:6" x14ac:dyDescent="0.25">
      <c r="A34" s="77" t="s">
        <v>314</v>
      </c>
      <c r="B34" s="69"/>
      <c r="C34" s="69"/>
      <c r="D34" s="69"/>
      <c r="E34" s="69"/>
      <c r="F34" s="69"/>
    </row>
    <row r="35" spans="1:6" x14ac:dyDescent="0.25">
      <c r="A35" s="46" t="s">
        <v>315</v>
      </c>
      <c r="B35" s="52">
        <f>B11+B12</f>
        <v>0.23404255319148937</v>
      </c>
    </row>
    <row r="36" spans="1:6" x14ac:dyDescent="0.25">
      <c r="A36" s="46" t="s">
        <v>316</v>
      </c>
      <c r="B36" s="52">
        <f>(B11+B12)*(1-הנחות!B66)</f>
        <v>0.18723404255319151</v>
      </c>
    </row>
    <row r="37" spans="1:6" x14ac:dyDescent="0.25">
      <c r="A37" s="46" t="s">
        <v>317</v>
      </c>
      <c r="B37" s="48">
        <f>(B11+B12)*(1-הנחות!B66)*E22</f>
        <v>20013724.338786118</v>
      </c>
    </row>
    <row r="38" spans="1:6" x14ac:dyDescent="0.25">
      <c r="A38" s="46" t="s">
        <v>318</v>
      </c>
      <c r="B38" s="48">
        <f>הנחות!B58</f>
        <v>5000000</v>
      </c>
    </row>
    <row r="39" spans="1:6" x14ac:dyDescent="0.25">
      <c r="A39" s="46" t="s">
        <v>319</v>
      </c>
      <c r="B39" s="62">
        <f>(B11+B12)*(1-הנחות!B66)*E22/הנחות!B58</f>
        <v>4.0027448677572233</v>
      </c>
    </row>
  </sheetData>
  <mergeCells count="11">
    <mergeCell ref="A34:F34"/>
    <mergeCell ref="A26:F26"/>
    <mergeCell ref="A1:D1"/>
    <mergeCell ref="A9:D9"/>
    <mergeCell ref="C6:D6"/>
    <mergeCell ref="C7:D7"/>
    <mergeCell ref="A4:D4"/>
    <mergeCell ref="C5:D5"/>
    <mergeCell ref="A17:F17"/>
    <mergeCell ref="A18:F18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rightToLeft="1" workbookViewId="0">
      <selection activeCell="L16" sqref="L16"/>
    </sheetView>
  </sheetViews>
  <sheetFormatPr defaultRowHeight="15" x14ac:dyDescent="0.25"/>
  <cols>
    <col min="1" max="1" width="22" customWidth="1"/>
    <col min="2" max="2" width="12" customWidth="1"/>
    <col min="3" max="4" width="18" customWidth="1"/>
    <col min="5" max="5" width="22" customWidth="1"/>
    <col min="6" max="6" width="14" customWidth="1"/>
  </cols>
  <sheetData>
    <row r="1" spans="1:6" ht="20.25" customHeight="1" x14ac:dyDescent="0.3">
      <c r="A1" s="71" t="s">
        <v>334</v>
      </c>
      <c r="B1" s="72"/>
      <c r="C1" s="72"/>
      <c r="D1" s="72"/>
      <c r="E1" s="72"/>
      <c r="F1" s="72"/>
    </row>
    <row r="2" spans="1:6" x14ac:dyDescent="0.25">
      <c r="A2" s="70" t="s">
        <v>320</v>
      </c>
      <c r="B2" s="69"/>
      <c r="C2" s="69"/>
      <c r="D2" s="69"/>
      <c r="E2" s="69"/>
      <c r="F2" s="69"/>
    </row>
    <row r="4" spans="1:6" x14ac:dyDescent="0.25">
      <c r="A4" s="68" t="s">
        <v>321</v>
      </c>
      <c r="B4" s="69"/>
      <c r="C4" s="69"/>
      <c r="D4" s="69"/>
      <c r="E4" s="69"/>
      <c r="F4" s="69"/>
    </row>
    <row r="5" spans="1:6" ht="30" customHeight="1" x14ac:dyDescent="0.25">
      <c r="A5" s="43" t="s">
        <v>296</v>
      </c>
      <c r="B5" s="43" t="s">
        <v>297</v>
      </c>
      <c r="C5" s="43" t="s">
        <v>322</v>
      </c>
      <c r="D5" s="43" t="s">
        <v>323</v>
      </c>
      <c r="E5" s="43" t="s">
        <v>324</v>
      </c>
      <c r="F5" s="43" t="s">
        <v>325</v>
      </c>
    </row>
    <row r="6" spans="1:6" x14ac:dyDescent="0.25">
      <c r="A6" s="25" t="s">
        <v>302</v>
      </c>
      <c r="B6" s="21" t="s">
        <v>303</v>
      </c>
      <c r="C6" s="29">
        <f>סיכום!D9*6</f>
        <v>64134889.358382784</v>
      </c>
      <c r="D6" s="42">
        <f>('Cap Table'!B11+'Cap Table'!B12)*(1-הנחות!B66)</f>
        <v>0.18723404255319151</v>
      </c>
      <c r="E6" s="18">
        <f>C6*D6</f>
        <v>12008234.603271671</v>
      </c>
      <c r="F6" s="44">
        <f>E6/הנחות!B58</f>
        <v>2.401646920654334</v>
      </c>
    </row>
    <row r="7" spans="1:6" x14ac:dyDescent="0.25">
      <c r="A7" s="25" t="s">
        <v>304</v>
      </c>
      <c r="B7" s="21" t="s">
        <v>305</v>
      </c>
      <c r="C7" s="29">
        <f>סיכום!D9*8</f>
        <v>85513185.811177045</v>
      </c>
      <c r="D7" s="42">
        <f>('Cap Table'!B11+'Cap Table'!B12)*(1-הנחות!B66)</f>
        <v>0.18723404255319151</v>
      </c>
      <c r="E7" s="18">
        <f>C7*D7</f>
        <v>16010979.471028896</v>
      </c>
      <c r="F7" s="44">
        <f>E7/הנחות!B58</f>
        <v>3.2021958942057793</v>
      </c>
    </row>
    <row r="8" spans="1:6" x14ac:dyDescent="0.25">
      <c r="A8" s="25" t="s">
        <v>306</v>
      </c>
      <c r="B8" s="21" t="s">
        <v>307</v>
      </c>
      <c r="C8" s="29">
        <f>סיכום!D9*12</f>
        <v>128269778.71676557</v>
      </c>
      <c r="D8" s="42">
        <f>('Cap Table'!B11+'Cap Table'!B12)*(1-הנחות!B66)</f>
        <v>0.18723404255319151</v>
      </c>
      <c r="E8" s="18">
        <f>C8*D8</f>
        <v>24016469.206543341</v>
      </c>
      <c r="F8" s="44">
        <f>E8/הנחות!B58</f>
        <v>4.8032938413086681</v>
      </c>
    </row>
    <row r="10" spans="1:6" x14ac:dyDescent="0.25">
      <c r="A10" s="68" t="s">
        <v>326</v>
      </c>
      <c r="B10" s="69"/>
      <c r="C10" s="69"/>
      <c r="D10" s="69"/>
      <c r="E10" s="69"/>
      <c r="F10" s="69"/>
    </row>
    <row r="11" spans="1:6" ht="30" customHeight="1" x14ac:dyDescent="0.25">
      <c r="A11" s="43" t="s">
        <v>296</v>
      </c>
      <c r="B11" s="43" t="s">
        <v>297</v>
      </c>
      <c r="C11" s="43" t="s">
        <v>322</v>
      </c>
      <c r="D11" s="43" t="s">
        <v>323</v>
      </c>
      <c r="E11" s="43" t="s">
        <v>324</v>
      </c>
      <c r="F11" s="43" t="s">
        <v>325</v>
      </c>
    </row>
    <row r="12" spans="1:6" x14ac:dyDescent="0.25">
      <c r="A12" s="25" t="s">
        <v>302</v>
      </c>
      <c r="B12" s="21" t="s">
        <v>303</v>
      </c>
      <c r="C12" s="29">
        <f>סיכום!F9*6</f>
        <v>142080686.33998844</v>
      </c>
      <c r="D12" s="42">
        <f>('Cap Table'!B11+'Cap Table'!B12)*(1-הנחות!B66)</f>
        <v>0.18723404255319151</v>
      </c>
      <c r="E12" s="18">
        <f>C12*D12</f>
        <v>26602341.272168051</v>
      </c>
      <c r="F12" s="44">
        <f>E12/הנחות!B58</f>
        <v>5.3204682544336102</v>
      </c>
    </row>
    <row r="13" spans="1:6" x14ac:dyDescent="0.25">
      <c r="A13" s="25" t="s">
        <v>304</v>
      </c>
      <c r="B13" s="21" t="s">
        <v>305</v>
      </c>
      <c r="C13" s="29">
        <f>סיכום!F9*8</f>
        <v>189440915.1199846</v>
      </c>
      <c r="D13" s="42">
        <f>('Cap Table'!B11+'Cap Table'!B12)*(1-הנחות!B66)</f>
        <v>0.18723404255319151</v>
      </c>
      <c r="E13" s="18">
        <f>C13*D13</f>
        <v>35469788.362890735</v>
      </c>
      <c r="F13" s="44">
        <f>E13/הנחות!B58</f>
        <v>7.0939576725781475</v>
      </c>
    </row>
    <row r="14" spans="1:6" x14ac:dyDescent="0.25">
      <c r="A14" s="25" t="s">
        <v>306</v>
      </c>
      <c r="B14" s="21" t="s">
        <v>307</v>
      </c>
      <c r="C14" s="29">
        <f>סיכום!F9*12</f>
        <v>284161372.67997688</v>
      </c>
      <c r="D14" s="42">
        <f>('Cap Table'!B11+'Cap Table'!B12)*(1-הנחות!B66)</f>
        <v>0.18723404255319151</v>
      </c>
      <c r="E14" s="18">
        <f>C14*D14</f>
        <v>53204682.544336103</v>
      </c>
      <c r="F14" s="44">
        <f>E14/הנחות!B58</f>
        <v>10.64093650886722</v>
      </c>
    </row>
  </sheetData>
  <mergeCells count="4">
    <mergeCell ref="A4:F4"/>
    <mergeCell ref="A2:F2"/>
    <mergeCell ref="A10:F10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סיכום</vt:lpstr>
      <vt:lpstr>הנחות</vt:lpstr>
      <vt:lpstr>תוכנית תפעולית</vt:lpstr>
      <vt:lpstr>Cap Table</vt:lpstr>
      <vt:lpstr>תרחישים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liran.shahar@icloud.com</cp:lastModifiedBy>
  <dcterms:created xsi:type="dcterms:W3CDTF">2026-05-04T10:40:35Z</dcterms:created>
  <dcterms:modified xsi:type="dcterms:W3CDTF">2026-05-06T11:47:37Z</dcterms:modified>
</cp:coreProperties>
</file>